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Default Extension="emf" ContentType="image/x-emf"/>
  <Default Extension="doc" ContentType="application/msword"/>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0910" codeName="{00000000-0000-0000-0000-000000000000}"/>
  <workbookPr showInkAnnotation="0" codeName="ThisWorkbook" autoCompressPictures="0"/>
  <bookViews>
    <workbookView xWindow="360" yWindow="280" windowWidth="17080" windowHeight="14540" firstSheet="2" activeTab="2"/>
  </bookViews>
  <sheets>
    <sheet name="Data" sheetId="1" state="hidden" r:id="rId1"/>
    <sheet name="Doc" sheetId="5" state="hidden" r:id="rId2"/>
    <sheet name="AggMat" sheetId="8" r:id="rId3"/>
    <sheet name="BaseSAM" sheetId="7" r:id="rId4"/>
    <sheet name="SAM" sheetId="2" r:id="rId5"/>
    <sheet name="Model" sheetId="3" r:id="rId6"/>
    <sheet name="Parameters" sheetId="4" r:id="rId7"/>
    <sheet name="Dictionary" sheetId="9" r:id="rId8"/>
  </sheets>
  <definedNames>
    <definedName name="a_aa">Parameters!$B$18</definedName>
    <definedName name="a_ao">Parameters!$C$18</definedName>
    <definedName name="a_oa">Parameters!$B$19</definedName>
    <definedName name="a_oo">Parameters!$C$19</definedName>
    <definedName name="ad_a">Parameters!$K$6</definedName>
    <definedName name="ad_o">Parameters!$L$6</definedName>
    <definedName name="aed_a">Parameters!$K$14</definedName>
    <definedName name="aed_o">Parameters!$L$14</definedName>
    <definedName name="af_a">Parameters!$B$15</definedName>
    <definedName name="af_o">Parameters!$C$15</definedName>
    <definedName name="afs_a">Parameters!$B$33</definedName>
    <definedName name="afs_o">Parameters!$C$33</definedName>
    <definedName name="ag_a">Parameters!$F$15</definedName>
    <definedName name="ag_o">Parameters!$G$15</definedName>
    <definedName name="AggMAT">AggMat!$C$2:$R$75</definedName>
    <definedName name="ai_a">Parameters!$F$19</definedName>
    <definedName name="ai_o">Parameters!$G$19</definedName>
    <definedName name="ak_a">Parameters!$B$14</definedName>
    <definedName name="ak_o">Parameters!$C$14</definedName>
    <definedName name="akf_a">Parameters!$B$11</definedName>
    <definedName name="akf_o">Parameters!$C$11</definedName>
    <definedName name="aks_a">Parameters!$B$29</definedName>
    <definedName name="aks_o">Parameters!$C$29</definedName>
    <definedName name="al_a">Parameters!$B$10</definedName>
    <definedName name="al_o">Parameters!$C$10</definedName>
    <definedName name="als">Parameters!$B$25</definedName>
    <definedName name="am_a">Parameters!$K$7</definedName>
    <definedName name="am_o">Parameters!$L$7</definedName>
    <definedName name="AMat">Parameters!$F$10:$G$11</definedName>
    <definedName name="and_a">Parameters!$B$6</definedName>
    <definedName name="and_o">Parameters!$C$6</definedName>
    <definedName name="anscount" hidden="1">1</definedName>
    <definedName name="ava_a">Parameters!$B$7</definedName>
    <definedName name="ava_o">Parameters!$C$7</definedName>
    <definedName name="BaseSAM">BaseSAM!$B$2:$BW$75</definedName>
    <definedName name="CMat">Parameters!$H$10:$H$11</definedName>
    <definedName name="CODES">#REF!</definedName>
    <definedName name="Countries">#REF!</definedName>
    <definedName name="CPI">Model!$D$110</definedName>
    <definedName name="CPI0">Model!$C$110</definedName>
    <definedName name="Data">Data!$A$1:$D$3316</definedName>
    <definedName name="deprY">Model!$D$45</definedName>
    <definedName name="deprY0">Model!$C$45</definedName>
    <definedName name="deprYeq">Model!$H$45</definedName>
    <definedName name="ed_a">Model!$D$70</definedName>
    <definedName name="ed_a0">Model!$C$70</definedName>
    <definedName name="ed_aeq">Model!$H$70</definedName>
    <definedName name="ed_o">Model!$D$71</definedName>
    <definedName name="ed_o0">Model!$C$71</definedName>
    <definedName name="ed_oeq">Model!$H$71</definedName>
    <definedName name="Endog">Model!$D$4:$D$89</definedName>
    <definedName name="Endog0">Model!$O$4:$O$89</definedName>
    <definedName name="epse_a">Parameters!$K$13</definedName>
    <definedName name="epse_o">Parameters!$L$13</definedName>
    <definedName name="er">Model!$L$23</definedName>
    <definedName name="er0">Model!$K$23</definedName>
    <definedName name="es_a">Model!$D$66</definedName>
    <definedName name="es_a0">Model!$C$66</definedName>
    <definedName name="es_aeq">Model!$H$66</definedName>
    <definedName name="es_o">Model!$D$67</definedName>
    <definedName name="es_o0">Model!$C$67</definedName>
    <definedName name="es_oeq">Model!$H$67</definedName>
    <definedName name="Exog">Model!$L$4:$L$32</definedName>
    <definedName name="Exog0">Model!$P$4:$P$32</definedName>
    <definedName name="fd_a">Model!$D$10</definedName>
    <definedName name="fd_a0">Model!$C$10</definedName>
    <definedName name="fd_aeq">Model!$H$10</definedName>
    <definedName name="fd_o">Model!$D$11</definedName>
    <definedName name="fd_o0">Model!$C$11</definedName>
    <definedName name="fd_oeq">Model!$H$11</definedName>
    <definedName name="fs_a">Model!$D$83</definedName>
    <definedName name="fs_a0">Model!$C$83</definedName>
    <definedName name="fs_aeq">Model!$H$83</definedName>
    <definedName name="fs_o">Model!$D$84</definedName>
    <definedName name="fs_o0">Model!$C$84</definedName>
    <definedName name="fs_oeq">Model!$H$84</definedName>
    <definedName name="gd_a">Parameters!$K$10</definedName>
    <definedName name="gd_o">Parameters!$L$10</definedName>
    <definedName name="gdpfc">Model!$D$87</definedName>
    <definedName name="gdpfc0">Model!$C$87</definedName>
    <definedName name="gdpfceq">Model!$H$87</definedName>
    <definedName name="ge_a">Parameters!$K$11</definedName>
    <definedName name="ge_o">Parameters!$L$11</definedName>
    <definedName name="GRev">Model!$D$76</definedName>
    <definedName name="GRev0">Model!$C$76</definedName>
    <definedName name="Greveq">Model!$H$76</definedName>
    <definedName name="GTAP">Data!$F$1:$J$239</definedName>
    <definedName name="gtrh">Model!$L$18</definedName>
    <definedName name="gtrh0">Model!$K$18</definedName>
    <definedName name="itaxY">Model!$D$74</definedName>
    <definedName name="itaxY0">Model!$C$74</definedName>
    <definedName name="itaxYeq">Model!$H$74</definedName>
    <definedName name="itc_a">Model!$L$16</definedName>
    <definedName name="itc_a0">Model!$K$16</definedName>
    <definedName name="itc_o">Model!$L$17</definedName>
    <definedName name="itc_o0">Model!$K$17</definedName>
    <definedName name="itg_a">Model!$L$19</definedName>
    <definedName name="itg_a0">Model!$K$19</definedName>
    <definedName name="itg_o">Model!$L$20</definedName>
    <definedName name="itg_o0">Model!$K$20</definedName>
    <definedName name="iti_a">Model!$L$21</definedName>
    <definedName name="iti_a0">Model!$K$21</definedName>
    <definedName name="iti_o">Model!$L$22</definedName>
    <definedName name="iti_o0">Model!$K$22</definedName>
    <definedName name="itp_aa">Model!$L$4</definedName>
    <definedName name="itp_aa0">Model!$K$4</definedName>
    <definedName name="itp_ao">Model!$L$5</definedName>
    <definedName name="itp_ao0">Model!$K$5</definedName>
    <definedName name="itp_oa">Model!$L$6</definedName>
    <definedName name="itp_oa0">Model!$K$6</definedName>
    <definedName name="itp_oo">Model!$L$7</definedName>
    <definedName name="itp_oo0">Model!$K$7</definedName>
    <definedName name="kappa">Model!$D$89</definedName>
    <definedName name="kappa0">Model!$C$89</definedName>
    <definedName name="kappaeq">Model!$H$89</definedName>
    <definedName name="kd_a">Model!$D$8</definedName>
    <definedName name="kd_a0">Model!$C$8</definedName>
    <definedName name="kd_aeq">Model!$H$8</definedName>
    <definedName name="kd_o">Model!$D$9</definedName>
    <definedName name="kd_o0">Model!$C$9</definedName>
    <definedName name="kd_oeq">Model!$H$9</definedName>
    <definedName name="kf_a">Model!$D$31</definedName>
    <definedName name="kf_a0">Model!$C$31</definedName>
    <definedName name="kf_aeq">Model!$H$31</definedName>
    <definedName name="kf_o">Model!$D$32</definedName>
    <definedName name="kf_o0">Model!$C$32</definedName>
    <definedName name="kf_oeq">Model!$H$32</definedName>
    <definedName name="ks_a">Model!$D$81</definedName>
    <definedName name="ks_a0">Model!$C$81</definedName>
    <definedName name="ks_aeq">Model!$H$81</definedName>
    <definedName name="ks_o">Model!$D$82</definedName>
    <definedName name="ks_o0">Model!$C$82</definedName>
    <definedName name="ks_oeq">Model!$H$82</definedName>
    <definedName name="lambdaf_a">Model!$L$14</definedName>
    <definedName name="lambdaf_a0">Model!$K$14</definedName>
    <definedName name="lambdaf_o">Model!$L$15</definedName>
    <definedName name="lambdaf_o0">Model!$K$15</definedName>
    <definedName name="lambdak_a">Model!$L$12</definedName>
    <definedName name="lambdak_a0">Model!$K$12</definedName>
    <definedName name="lambdak_o">Model!$L$13</definedName>
    <definedName name="lambdak_o0">Model!$K$13</definedName>
    <definedName name="lambdal_a">Model!$L$10</definedName>
    <definedName name="lambdal_a0">Model!$K$10</definedName>
    <definedName name="lambdal_o">Model!$L$11</definedName>
    <definedName name="lambdal_o0">Model!$K$11</definedName>
    <definedName name="ld_a">Model!$D$6</definedName>
    <definedName name="ld_a0">Model!$C$6</definedName>
    <definedName name="ld_aeq">Model!$H$6</definedName>
    <definedName name="ld_o">Model!$D$7</definedName>
    <definedName name="ld_o0">Model!$C$7</definedName>
    <definedName name="ld_oeq">Model!$H$7</definedName>
    <definedName name="limcount" hidden="1">1</definedName>
    <definedName name="Ls">Model!$D$78</definedName>
    <definedName name="Ls0">Model!$C$78</definedName>
    <definedName name="lseq">Model!$H$78</definedName>
    <definedName name="mu_a">Parameters!$F$7</definedName>
    <definedName name="mu_o">Parameters!$G$7</definedName>
    <definedName name="mus">Parameters!$H$7</definedName>
    <definedName name="nd_a">Model!$D$37</definedName>
    <definedName name="nd_a0">Model!$C$37</definedName>
    <definedName name="nd_aeq">Model!$H$37</definedName>
    <definedName name="nd_o">Model!$D$38</definedName>
    <definedName name="nd_o0">Model!$C$38</definedName>
    <definedName name="nd_oeq">Model!$H$38</definedName>
    <definedName name="omegaf_a">Parameters!$B$32</definedName>
    <definedName name="omegaf_o">Parameters!$C$32</definedName>
    <definedName name="omegak">Parameters!$A$29</definedName>
    <definedName name="omegal">Parameters!$B$24</definedName>
    <definedName name="pa_a">Model!$D$21</definedName>
    <definedName name="pa_a0">Model!$C$21</definedName>
    <definedName name="pa_aeq">Model!$H$21</definedName>
    <definedName name="pa_o">Model!$D$22</definedName>
    <definedName name="pa_o0">Model!$C$22</definedName>
    <definedName name="pa_oeq">Model!$H$22</definedName>
    <definedName name="pd_a">Model!$D$54</definedName>
    <definedName name="pd_a0">Model!$C$54</definedName>
    <definedName name="pd_aeq">Model!$H$54</definedName>
    <definedName name="pd_o">Model!$D$55</definedName>
    <definedName name="pd_o0">Model!$C$55</definedName>
    <definedName name="pd_oeq">Model!$H$55</definedName>
    <definedName name="pe_a">Model!$D$68</definedName>
    <definedName name="pe_a0">Model!$C$68</definedName>
    <definedName name="pe_aeq">Model!$H$68</definedName>
    <definedName name="pe_o">Model!$D$69</definedName>
    <definedName name="pe_o0">Model!$C$69</definedName>
    <definedName name="pe_oeq">Model!$H$69</definedName>
    <definedName name="pf_a">Model!$D$19</definedName>
    <definedName name="pf_a0">Model!$C$19</definedName>
    <definedName name="pf_aeq">Model!$H$19</definedName>
    <definedName name="pf_o">Model!$D$20</definedName>
    <definedName name="pf_o0">Model!$C$20</definedName>
    <definedName name="pf_oeq">Model!$H$20</definedName>
    <definedName name="pg">Model!$D$47</definedName>
    <definedName name="pg0">Model!$C$47</definedName>
    <definedName name="pgeq">Model!$H$47</definedName>
    <definedName name="pi">Model!$D$51</definedName>
    <definedName name="pi0">Model!$C$51</definedName>
    <definedName name="pieq">Model!$H$51</definedName>
    <definedName name="pindex">Model!$D$85</definedName>
    <definedName name="pindex0">Model!$C$85</definedName>
    <definedName name="pindexeq">Model!$H$85</definedName>
    <definedName name="pkf_a">Model!$D$33</definedName>
    <definedName name="pkf_a0">Model!$C$33</definedName>
    <definedName name="pkf_aeq">Model!$H$33</definedName>
    <definedName name="pkf_o">Model!$D$34</definedName>
    <definedName name="pkf_o0">Model!$C$34</definedName>
    <definedName name="pkf_oeq">Model!$H$34</definedName>
    <definedName name="pm_a">Model!$D$56</definedName>
    <definedName name="pm_a0">Model!$C$56</definedName>
    <definedName name="pm_aeq">Model!$H$56</definedName>
    <definedName name="pm_o">Model!$D$57</definedName>
    <definedName name="pm_o0">Model!$C$57</definedName>
    <definedName name="pm_oeq">Model!$H$57</definedName>
    <definedName name="pnd_a">Model!$D$35</definedName>
    <definedName name="pnd_a0">Model!$C$35</definedName>
    <definedName name="pnd_aeq">Model!$H$35</definedName>
    <definedName name="pnd_o">Model!$D$36</definedName>
    <definedName name="pnd_o0">Model!$C$36</definedName>
    <definedName name="pnd_oeq">Model!$H$36</definedName>
    <definedName name="Pop">Data!$P$2:$R$67</definedName>
    <definedName name="pp_a">Model!$D$23</definedName>
    <definedName name="pp_a0">Model!$C$23</definedName>
    <definedName name="pp_aeq">Model!$H$23</definedName>
    <definedName name="pp_o">Model!$D$24</definedName>
    <definedName name="pp_o0">Model!$C$24</definedName>
    <definedName name="pp_oeq">Model!$H$24</definedName>
    <definedName name="_xlnm.Print_Area" localSheetId="5">Model!$J$3:$M$32</definedName>
    <definedName name="_xlnm.Print_Area" localSheetId="4">SAM!$A$26:$Q$58</definedName>
    <definedName name="pva_a">Model!$D$29</definedName>
    <definedName name="pva_a0">Model!$C$29</definedName>
    <definedName name="pva_aeq">Model!$H$29</definedName>
    <definedName name="pva_o">Model!$D$30</definedName>
    <definedName name="pva_o0">Model!$C$30</definedName>
    <definedName name="pva_oeq">Model!$H$30</definedName>
    <definedName name="px_a">Model!$D$25</definedName>
    <definedName name="px_a0">Model!$C$25</definedName>
    <definedName name="px_aeq">Model!$H$25</definedName>
    <definedName name="px_o">Model!$D$26</definedName>
    <definedName name="px_o0">Model!$C$26</definedName>
    <definedName name="px_oeq">Model!$H$26</definedName>
    <definedName name="RegCodes">Data!$L$3:$N$68</definedName>
    <definedName name="Regions">Data!$F$1:$J$239</definedName>
    <definedName name="rent_a">Model!$D$17</definedName>
    <definedName name="rent_a0">Model!$C$17</definedName>
    <definedName name="rent_aeq">Model!$H$17</definedName>
    <definedName name="rent_o">Model!$D$18</definedName>
    <definedName name="rent_o0">Model!$C$18</definedName>
    <definedName name="rent_oeq">Model!$H$18</definedName>
    <definedName name="rgdp">Model!$D$86</definedName>
    <definedName name="rgdp0">Model!$C$86</definedName>
    <definedName name="rgdpeq">Model!$H$86</definedName>
    <definedName name="rsg">Model!$D$88</definedName>
    <definedName name="rsg0">Model!$C$88</definedName>
    <definedName name="rsgeq">Model!$H$88</definedName>
    <definedName name="savf">Model!$L$32</definedName>
    <definedName name="savf0">Model!$K$32</definedName>
    <definedName name="savg">Model!$D$77</definedName>
    <definedName name="savg0">Model!$C$77</definedName>
    <definedName name="savgeq">Model!$H$77</definedName>
    <definedName name="savh">Model!$D$41</definedName>
    <definedName name="savh0">Model!$C$41</definedName>
    <definedName name="savheq">Model!$H$41</definedName>
    <definedName name="scale">SAM!$A$47</definedName>
    <definedName name="sencount" hidden="1">1</definedName>
    <definedName name="sigmag">Parameters!$E$15</definedName>
    <definedName name="sigmai">Parameters!$E$19</definedName>
    <definedName name="sigmak_a">Parameters!$B$13</definedName>
    <definedName name="sigmak_o">Parameters!$C$13</definedName>
    <definedName name="sigmam_a">Parameters!$K$5</definedName>
    <definedName name="sigmam_o">Parameters!$L$5</definedName>
    <definedName name="sigmap_a">Parameters!$B$5</definedName>
    <definedName name="sigmap_o">Parameters!$C$5</definedName>
    <definedName name="sigmav_a">Parameters!$B$9</definedName>
    <definedName name="sigmav_o">Parameters!$C$9</definedName>
    <definedName name="sigmax_a">Parameters!$K$9</definedName>
    <definedName name="sigmax_o">Parameters!$L$9</definedName>
    <definedName name="solver_adj" localSheetId="5" hidden="1">Model!$D$4:$D$89</definedName>
    <definedName name="solver_cvg" localSheetId="5" hidden="1">0.00000001</definedName>
    <definedName name="solver_drv" localSheetId="5" hidden="1">1</definedName>
    <definedName name="solver_est" localSheetId="5" hidden="1">1</definedName>
    <definedName name="solver_itr" localSheetId="5" hidden="1">100</definedName>
    <definedName name="solver_lhs1" localSheetId="5" hidden="1">Model!$H$4</definedName>
    <definedName name="solver_lhs10" localSheetId="5" hidden="1">Model!$H$15</definedName>
    <definedName name="solver_lhs11" localSheetId="5" hidden="1">Model!$H$16</definedName>
    <definedName name="solver_lhs12" localSheetId="5" hidden="1">Model!$H$17</definedName>
    <definedName name="solver_lhs13" localSheetId="5" hidden="1">Model!$H$18</definedName>
    <definedName name="solver_lhs14" localSheetId="5" hidden="1">Model!$H$21</definedName>
    <definedName name="solver_lhs15" localSheetId="5" hidden="1">Model!$H$22</definedName>
    <definedName name="solver_lhs16" localSheetId="5" hidden="1">Model!$H$23</definedName>
    <definedName name="solver_lhs17" localSheetId="5" hidden="1">Model!$H$24</definedName>
    <definedName name="solver_lhs18" localSheetId="5" hidden="1">Model!$H$25</definedName>
    <definedName name="solver_lhs19" localSheetId="5" hidden="1">Model!$H$26</definedName>
    <definedName name="solver_lhs2" localSheetId="5" hidden="1">Model!$H$5</definedName>
    <definedName name="solver_lhs20" localSheetId="5" hidden="1">Model!$H$27</definedName>
    <definedName name="solver_lhs21" localSheetId="5" hidden="1">Model!$H$28</definedName>
    <definedName name="solver_lhs22" localSheetId="5" hidden="1">Model!$H$29</definedName>
    <definedName name="solver_lhs23" localSheetId="5" hidden="1">Model!$H$30</definedName>
    <definedName name="solver_lhs24" localSheetId="5" hidden="1">Model!$H$31</definedName>
    <definedName name="solver_lhs25" localSheetId="5" hidden="1">Model!$H$32</definedName>
    <definedName name="solver_lhs26" localSheetId="5" hidden="1">Model!$H$33</definedName>
    <definedName name="solver_lhs27" localSheetId="5" hidden="1">Model!$H$34</definedName>
    <definedName name="solver_lhs28" localSheetId="5" hidden="1">Model!$H$39</definedName>
    <definedName name="solver_lhs29" localSheetId="5" hidden="1">Model!$H$40</definedName>
    <definedName name="solver_lhs3" localSheetId="5" hidden="1">Model!$H$6</definedName>
    <definedName name="solver_lhs30" localSheetId="5" hidden="1">Model!$H$41</definedName>
    <definedName name="solver_lhs31" localSheetId="5" hidden="1">Model!$H$42</definedName>
    <definedName name="solver_lhs32" localSheetId="5" hidden="1">Model!$H$43</definedName>
    <definedName name="solver_lhs33" localSheetId="5" hidden="1">Model!$H$44</definedName>
    <definedName name="solver_lhs34" localSheetId="5" hidden="1">Model!$H$45</definedName>
    <definedName name="solver_lhs35" localSheetId="5" hidden="1">Model!$H$46</definedName>
    <definedName name="solver_lhs36" localSheetId="5" hidden="1">Model!$H$47</definedName>
    <definedName name="solver_lhs37" localSheetId="5" hidden="1">Model!$H$48</definedName>
    <definedName name="solver_lhs38" localSheetId="5" hidden="1">Model!$H$49</definedName>
    <definedName name="solver_lhs39" localSheetId="5" hidden="1">Model!$H$50</definedName>
    <definedName name="solver_lhs4" localSheetId="5" hidden="1">Model!$H$7</definedName>
    <definedName name="solver_lhs40" localSheetId="5" hidden="1">Model!$H$51</definedName>
    <definedName name="solver_lhs41" localSheetId="5" hidden="1">Model!$H$52</definedName>
    <definedName name="solver_lhs42" localSheetId="5" hidden="1">Model!$H$53</definedName>
    <definedName name="solver_lhs43" localSheetId="5" hidden="1">Model!$H$54</definedName>
    <definedName name="solver_lhs44" localSheetId="5" hidden="1">Model!$H$55</definedName>
    <definedName name="solver_lhs45" localSheetId="5" hidden="1">Model!$H$56</definedName>
    <definedName name="solver_lhs46" localSheetId="5" hidden="1">Model!$H$57</definedName>
    <definedName name="solver_lhs47" localSheetId="5" hidden="1">Model!$H$58</definedName>
    <definedName name="solver_lhs48" localSheetId="5" hidden="1">Model!$H$59</definedName>
    <definedName name="solver_lhs49" localSheetId="5" hidden="1">Model!$H$60</definedName>
    <definedName name="solver_lhs5" localSheetId="5" hidden="1">Model!$H$8</definedName>
    <definedName name="solver_lhs50" localSheetId="5" hidden="1">Model!$H$61</definedName>
    <definedName name="solver_lhs51" localSheetId="5" hidden="1">Model!$H$62</definedName>
    <definedName name="solver_lhs52" localSheetId="5" hidden="1">Model!$H$63</definedName>
    <definedName name="solver_lhs53" localSheetId="5" hidden="1">Model!$H$64</definedName>
    <definedName name="solver_lhs54" localSheetId="5" hidden="1">Model!$H$65</definedName>
    <definedName name="solver_lhs55" localSheetId="5" hidden="1">Model!$H$66</definedName>
    <definedName name="solver_lhs56" localSheetId="5" hidden="1">Model!$H$67</definedName>
    <definedName name="solver_lhs57" localSheetId="5" hidden="1">Model!$H$68</definedName>
    <definedName name="solver_lhs58" localSheetId="5" hidden="1">Model!$H$69</definedName>
    <definedName name="solver_lhs59" localSheetId="5" hidden="1">Model!$H$70</definedName>
    <definedName name="solver_lhs6" localSheetId="5" hidden="1">Model!$H$9</definedName>
    <definedName name="solver_lhs60" localSheetId="5" hidden="1">Model!$H$71</definedName>
    <definedName name="solver_lhs61" localSheetId="5" hidden="1">Model!$H$72</definedName>
    <definedName name="solver_lhs62" localSheetId="5" hidden="1">Model!$H$73</definedName>
    <definedName name="solver_lhs63" localSheetId="5" hidden="1">Model!$H$74</definedName>
    <definedName name="solver_lhs64" localSheetId="5" hidden="1">Model!$H$75</definedName>
    <definedName name="solver_lhs65" localSheetId="5" hidden="1">Model!$H$76</definedName>
    <definedName name="solver_lhs66" localSheetId="5" hidden="1">Model!$H$77</definedName>
    <definedName name="solver_lhs67" localSheetId="5" hidden="1">Model!$H$78</definedName>
    <definedName name="solver_lhs68" localSheetId="5" hidden="1">Model!$H$79</definedName>
    <definedName name="solver_lhs69" localSheetId="5" hidden="1">Model!$H$80</definedName>
    <definedName name="solver_lhs7" localSheetId="5" hidden="1">Model!$H$12</definedName>
    <definedName name="solver_lhs70" localSheetId="5" hidden="1">Model!$H$81</definedName>
    <definedName name="solver_lhs71" localSheetId="5" hidden="1">Model!$H$82</definedName>
    <definedName name="solver_lhs72" localSheetId="5" hidden="1">Model!$H$85</definedName>
    <definedName name="solver_lhs73" localSheetId="5" hidden="1">Model!$H$86</definedName>
    <definedName name="solver_lhs74" localSheetId="5" hidden="1">Model!$H$87</definedName>
    <definedName name="solver_lhs75" localSheetId="5" hidden="1">Model!$H$88</definedName>
    <definedName name="solver_lhs76" localSheetId="5" hidden="1">Model!$H$89</definedName>
    <definedName name="solver_lhs77" localSheetId="5" hidden="1">Model!$H$10</definedName>
    <definedName name="solver_lhs78" localSheetId="5" hidden="1">Model!$H$11</definedName>
    <definedName name="solver_lhs79" localSheetId="5" hidden="1">Model!$H$19</definedName>
    <definedName name="solver_lhs8" localSheetId="5" hidden="1">Model!$H$13</definedName>
    <definedName name="solver_lhs80" localSheetId="5" hidden="1">Model!$H$20</definedName>
    <definedName name="solver_lhs81" localSheetId="5" hidden="1">Model!$H$35</definedName>
    <definedName name="solver_lhs82" localSheetId="5" hidden="1">Model!$H$36</definedName>
    <definedName name="solver_lhs83" localSheetId="5" hidden="1">Model!$H$37</definedName>
    <definedName name="solver_lhs84" localSheetId="5" hidden="1">Model!$H$38</definedName>
    <definedName name="solver_lhs85" localSheetId="5" hidden="1">Model!$H$83</definedName>
    <definedName name="solver_lhs86" localSheetId="5" hidden="1">Model!$H$84</definedName>
    <definedName name="solver_lhs9" localSheetId="5" hidden="1">Model!$H$14</definedName>
    <definedName name="solver_lin" localSheetId="5" hidden="1">2</definedName>
    <definedName name="solver_neg" localSheetId="5" hidden="1">2</definedName>
    <definedName name="solver_num" localSheetId="5" hidden="1">86</definedName>
    <definedName name="solver_nwt" localSheetId="5" hidden="1">1</definedName>
    <definedName name="solver_opt" localSheetId="5" hidden="1">Model!$D$59</definedName>
    <definedName name="solver_pre" localSheetId="5" hidden="1">0.0000001</definedName>
    <definedName name="solver_rel1" localSheetId="5" hidden="1">2</definedName>
    <definedName name="solver_rel10" localSheetId="5" hidden="1">2</definedName>
    <definedName name="solver_rel11" localSheetId="5" hidden="1">2</definedName>
    <definedName name="solver_rel12" localSheetId="5" hidden="1">2</definedName>
    <definedName name="solver_rel13" localSheetId="5" hidden="1">2</definedName>
    <definedName name="solver_rel14" localSheetId="5" hidden="1">2</definedName>
    <definedName name="solver_rel15" localSheetId="5" hidden="1">2</definedName>
    <definedName name="solver_rel16" localSheetId="5" hidden="1">2</definedName>
    <definedName name="solver_rel17" localSheetId="5" hidden="1">2</definedName>
    <definedName name="solver_rel18" localSheetId="5" hidden="1">2</definedName>
    <definedName name="solver_rel19" localSheetId="5" hidden="1">2</definedName>
    <definedName name="solver_rel2" localSheetId="5" hidden="1">2</definedName>
    <definedName name="solver_rel20" localSheetId="5" hidden="1">2</definedName>
    <definedName name="solver_rel21" localSheetId="5" hidden="1">2</definedName>
    <definedName name="solver_rel22" localSheetId="5" hidden="1">2</definedName>
    <definedName name="solver_rel23" localSheetId="5" hidden="1">2</definedName>
    <definedName name="solver_rel24" localSheetId="5" hidden="1">2</definedName>
    <definedName name="solver_rel25" localSheetId="5" hidden="1">2</definedName>
    <definedName name="solver_rel26" localSheetId="5" hidden="1">2</definedName>
    <definedName name="solver_rel27" localSheetId="5" hidden="1">2</definedName>
    <definedName name="solver_rel28" localSheetId="5" hidden="1">2</definedName>
    <definedName name="solver_rel29" localSheetId="5" hidden="1">2</definedName>
    <definedName name="solver_rel3" localSheetId="5" hidden="1">2</definedName>
    <definedName name="solver_rel30" localSheetId="5" hidden="1">2</definedName>
    <definedName name="solver_rel31" localSheetId="5" hidden="1">2</definedName>
    <definedName name="solver_rel32" localSheetId="5" hidden="1">2</definedName>
    <definedName name="solver_rel33" localSheetId="5" hidden="1">2</definedName>
    <definedName name="solver_rel34" localSheetId="5" hidden="1">2</definedName>
    <definedName name="solver_rel35" localSheetId="5" hidden="1">2</definedName>
    <definedName name="solver_rel36" localSheetId="5" hidden="1">2</definedName>
    <definedName name="solver_rel37" localSheetId="5" hidden="1">2</definedName>
    <definedName name="solver_rel38" localSheetId="5" hidden="1">2</definedName>
    <definedName name="solver_rel39" localSheetId="5" hidden="1">2</definedName>
    <definedName name="solver_rel4" localSheetId="5" hidden="1">2</definedName>
    <definedName name="solver_rel40" localSheetId="5" hidden="1">2</definedName>
    <definedName name="solver_rel41" localSheetId="5" hidden="1">2</definedName>
    <definedName name="solver_rel42" localSheetId="5" hidden="1">2</definedName>
    <definedName name="solver_rel43" localSheetId="5" hidden="1">2</definedName>
    <definedName name="solver_rel44" localSheetId="5" hidden="1">2</definedName>
    <definedName name="solver_rel45" localSheetId="5" hidden="1">2</definedName>
    <definedName name="solver_rel46" localSheetId="5" hidden="1">2</definedName>
    <definedName name="solver_rel47" localSheetId="5" hidden="1">2</definedName>
    <definedName name="solver_rel48" localSheetId="5" hidden="1">2</definedName>
    <definedName name="solver_rel49" localSheetId="5" hidden="1">2</definedName>
    <definedName name="solver_rel5" localSheetId="5" hidden="1">2</definedName>
    <definedName name="solver_rel50" localSheetId="5" hidden="1">2</definedName>
    <definedName name="solver_rel51" localSheetId="5" hidden="1">2</definedName>
    <definedName name="solver_rel52" localSheetId="5" hidden="1">2</definedName>
    <definedName name="solver_rel53" localSheetId="5" hidden="1">2</definedName>
    <definedName name="solver_rel54" localSheetId="5" hidden="1">2</definedName>
    <definedName name="solver_rel55" localSheetId="5" hidden="1">2</definedName>
    <definedName name="solver_rel56" localSheetId="5" hidden="1">2</definedName>
    <definedName name="solver_rel57" localSheetId="5" hidden="1">2</definedName>
    <definedName name="solver_rel58" localSheetId="5" hidden="1">2</definedName>
    <definedName name="solver_rel59" localSheetId="5" hidden="1">2</definedName>
    <definedName name="solver_rel6" localSheetId="5" hidden="1">2</definedName>
    <definedName name="solver_rel60" localSheetId="5" hidden="1">2</definedName>
    <definedName name="solver_rel61" localSheetId="5" hidden="1">2</definedName>
    <definedName name="solver_rel62" localSheetId="5" hidden="1">2</definedName>
    <definedName name="solver_rel63" localSheetId="5" hidden="1">2</definedName>
    <definedName name="solver_rel64" localSheetId="5" hidden="1">2</definedName>
    <definedName name="solver_rel65" localSheetId="5" hidden="1">2</definedName>
    <definedName name="solver_rel66" localSheetId="5" hidden="1">2</definedName>
    <definedName name="solver_rel67" localSheetId="5" hidden="1">2</definedName>
    <definedName name="solver_rel68" localSheetId="5" hidden="1">2</definedName>
    <definedName name="solver_rel69" localSheetId="5" hidden="1">2</definedName>
    <definedName name="solver_rel7" localSheetId="5" hidden="1">2</definedName>
    <definedName name="solver_rel70" localSheetId="5" hidden="1">2</definedName>
    <definedName name="solver_rel71" localSheetId="5" hidden="1">2</definedName>
    <definedName name="solver_rel72" localSheetId="5" hidden="1">2</definedName>
    <definedName name="solver_rel73" localSheetId="5" hidden="1">2</definedName>
    <definedName name="solver_rel74" localSheetId="5" hidden="1">2</definedName>
    <definedName name="solver_rel75" localSheetId="5" hidden="1">2</definedName>
    <definedName name="solver_rel76" localSheetId="5" hidden="1">2</definedName>
    <definedName name="solver_rel77" localSheetId="5" hidden="1">2</definedName>
    <definedName name="solver_rel78" localSheetId="5" hidden="1">2</definedName>
    <definedName name="solver_rel79" localSheetId="5" hidden="1">2</definedName>
    <definedName name="solver_rel8" localSheetId="5" hidden="1">2</definedName>
    <definedName name="solver_rel80" localSheetId="5" hidden="1">2</definedName>
    <definedName name="solver_rel81" localSheetId="5" hidden="1">2</definedName>
    <definedName name="solver_rel82" localSheetId="5" hidden="1">2</definedName>
    <definedName name="solver_rel83" localSheetId="5" hidden="1">2</definedName>
    <definedName name="solver_rel84" localSheetId="5" hidden="1">2</definedName>
    <definedName name="solver_rel85" localSheetId="5" hidden="1">2</definedName>
    <definedName name="solver_rel86" localSheetId="5" hidden="1">2</definedName>
    <definedName name="solver_rel9" localSheetId="5" hidden="1">2</definedName>
    <definedName name="solver_rhs1" localSheetId="5" hidden="1">0</definedName>
    <definedName name="solver_rhs10" localSheetId="5" hidden="1">0</definedName>
    <definedName name="solver_rhs11" localSheetId="5" hidden="1">0</definedName>
    <definedName name="solver_rhs12" localSheetId="5" hidden="1">0</definedName>
    <definedName name="solver_rhs13" localSheetId="5" hidden="1">0</definedName>
    <definedName name="solver_rhs14" localSheetId="5" hidden="1">0</definedName>
    <definedName name="solver_rhs15" localSheetId="5" hidden="1">0</definedName>
    <definedName name="solver_rhs16" localSheetId="5" hidden="1">0</definedName>
    <definedName name="solver_rhs17" localSheetId="5" hidden="1">0</definedName>
    <definedName name="solver_rhs18" localSheetId="5" hidden="1">0</definedName>
    <definedName name="solver_rhs19" localSheetId="5" hidden="1">0</definedName>
    <definedName name="solver_rhs2" localSheetId="5" hidden="1">0</definedName>
    <definedName name="solver_rhs20" localSheetId="5" hidden="1">0</definedName>
    <definedName name="solver_rhs21" localSheetId="5" hidden="1">0</definedName>
    <definedName name="solver_rhs22" localSheetId="5" hidden="1">0</definedName>
    <definedName name="solver_rhs23" localSheetId="5" hidden="1">0</definedName>
    <definedName name="solver_rhs24" localSheetId="5" hidden="1">0</definedName>
    <definedName name="solver_rhs25" localSheetId="5" hidden="1">0</definedName>
    <definedName name="solver_rhs26" localSheetId="5" hidden="1">0</definedName>
    <definedName name="solver_rhs27" localSheetId="5" hidden="1">0</definedName>
    <definedName name="solver_rhs28" localSheetId="5" hidden="1">0</definedName>
    <definedName name="solver_rhs29" localSheetId="5" hidden="1">0</definedName>
    <definedName name="solver_rhs3" localSheetId="5" hidden="1">0</definedName>
    <definedName name="solver_rhs30" localSheetId="5" hidden="1">0</definedName>
    <definedName name="solver_rhs31" localSheetId="5" hidden="1">0</definedName>
    <definedName name="solver_rhs32" localSheetId="5" hidden="1">0</definedName>
    <definedName name="solver_rhs33" localSheetId="5" hidden="1">0</definedName>
    <definedName name="solver_rhs34" localSheetId="5" hidden="1">0</definedName>
    <definedName name="solver_rhs35" localSheetId="5" hidden="1">0</definedName>
    <definedName name="solver_rhs36" localSheetId="5" hidden="1">0</definedName>
    <definedName name="solver_rhs37" localSheetId="5" hidden="1">0</definedName>
    <definedName name="solver_rhs38" localSheetId="5" hidden="1">0</definedName>
    <definedName name="solver_rhs39" localSheetId="5" hidden="1">0</definedName>
    <definedName name="solver_rhs4" localSheetId="5" hidden="1">0</definedName>
    <definedName name="solver_rhs40" localSheetId="5" hidden="1">0</definedName>
    <definedName name="solver_rhs41" localSheetId="5" hidden="1">0</definedName>
    <definedName name="solver_rhs42" localSheetId="5" hidden="1">0</definedName>
    <definedName name="solver_rhs43" localSheetId="5" hidden="1">0</definedName>
    <definedName name="solver_rhs44" localSheetId="5" hidden="1">0</definedName>
    <definedName name="solver_rhs45" localSheetId="5" hidden="1">0</definedName>
    <definedName name="solver_rhs46" localSheetId="5" hidden="1">0</definedName>
    <definedName name="solver_rhs47" localSheetId="5" hidden="1">0</definedName>
    <definedName name="solver_rhs48" localSheetId="5" hidden="1">0</definedName>
    <definedName name="solver_rhs49" localSheetId="5" hidden="1">0</definedName>
    <definedName name="solver_rhs5" localSheetId="5" hidden="1">0</definedName>
    <definedName name="solver_rhs50" localSheetId="5" hidden="1">0</definedName>
    <definedName name="solver_rhs51" localSheetId="5" hidden="1">0</definedName>
    <definedName name="solver_rhs52" localSheetId="5" hidden="1">0</definedName>
    <definedName name="solver_rhs53" localSheetId="5" hidden="1">0</definedName>
    <definedName name="solver_rhs54" localSheetId="5" hidden="1">0</definedName>
    <definedName name="solver_rhs55" localSheetId="5" hidden="1">0</definedName>
    <definedName name="solver_rhs56" localSheetId="5" hidden="1">0</definedName>
    <definedName name="solver_rhs57" localSheetId="5" hidden="1">0</definedName>
    <definedName name="solver_rhs58" localSheetId="5" hidden="1">0</definedName>
    <definedName name="solver_rhs59" localSheetId="5" hidden="1">0</definedName>
    <definedName name="solver_rhs6" localSheetId="5" hidden="1">0</definedName>
    <definedName name="solver_rhs60" localSheetId="5" hidden="1">0</definedName>
    <definedName name="solver_rhs61" localSheetId="5" hidden="1">0</definedName>
    <definedName name="solver_rhs62" localSheetId="5" hidden="1">0</definedName>
    <definedName name="solver_rhs63" localSheetId="5" hidden="1">0</definedName>
    <definedName name="solver_rhs64" localSheetId="5" hidden="1">0</definedName>
    <definedName name="solver_rhs65" localSheetId="5" hidden="1">0</definedName>
    <definedName name="solver_rhs66" localSheetId="5" hidden="1">0</definedName>
    <definedName name="solver_rhs67" localSheetId="5" hidden="1">0</definedName>
    <definedName name="solver_rhs68" localSheetId="5" hidden="1">0</definedName>
    <definedName name="solver_rhs69" localSheetId="5" hidden="1">0</definedName>
    <definedName name="solver_rhs7" localSheetId="5" hidden="1">0</definedName>
    <definedName name="solver_rhs70" localSheetId="5" hidden="1">0</definedName>
    <definedName name="solver_rhs71" localSheetId="5" hidden="1">0</definedName>
    <definedName name="solver_rhs72" localSheetId="5" hidden="1">0</definedName>
    <definedName name="solver_rhs73" localSheetId="5" hidden="1">0</definedName>
    <definedName name="solver_rhs74" localSheetId="5" hidden="1">0</definedName>
    <definedName name="solver_rhs75" localSheetId="5" hidden="1">0</definedName>
    <definedName name="solver_rhs76" localSheetId="5" hidden="1">0</definedName>
    <definedName name="solver_rhs77" localSheetId="5" hidden="1">0</definedName>
    <definedName name="solver_rhs78" localSheetId="5" hidden="1">0</definedName>
    <definedName name="solver_rhs79" localSheetId="5" hidden="1">0</definedName>
    <definedName name="solver_rhs8" localSheetId="5" hidden="1">0</definedName>
    <definedName name="solver_rhs80" localSheetId="5" hidden="1">0</definedName>
    <definedName name="solver_rhs81" localSheetId="5" hidden="1">0</definedName>
    <definedName name="solver_rhs82" localSheetId="5" hidden="1">0</definedName>
    <definedName name="solver_rhs83" localSheetId="5" hidden="1">0</definedName>
    <definedName name="solver_rhs84" localSheetId="5" hidden="1">0</definedName>
    <definedName name="solver_rhs85" localSheetId="5" hidden="1">0</definedName>
    <definedName name="solver_rhs86" localSheetId="5" hidden="1">0</definedName>
    <definedName name="solver_rhs9" localSheetId="5" hidden="1">0</definedName>
    <definedName name="solver_scl" localSheetId="5" hidden="1">1</definedName>
    <definedName name="solver_sho" localSheetId="5" hidden="1">2</definedName>
    <definedName name="solver_tim" localSheetId="5" hidden="1">100</definedName>
    <definedName name="solver_tol" localSheetId="5" hidden="1">0.01</definedName>
    <definedName name="solver_typ" localSheetId="5" hidden="1">1</definedName>
    <definedName name="solver_val" localSheetId="5" hidden="1">0</definedName>
    <definedName name="te_a">Model!$L$30</definedName>
    <definedName name="te_a0">Model!$K$30</definedName>
    <definedName name="te_o">Model!$L$31</definedName>
    <definedName name="te_o0">Model!$K$31</definedName>
    <definedName name="theta_a">Parameters!$F$8</definedName>
    <definedName name="theta_o">Parameters!$G$8</definedName>
    <definedName name="TK">Model!$D$79</definedName>
    <definedName name="TK0">Model!$C$79</definedName>
    <definedName name="Tkeq">Model!$H$79</definedName>
    <definedName name="tm_a">Model!$L$28</definedName>
    <definedName name="tm_a0">Model!$K$28</definedName>
    <definedName name="tm_o">Model!$L$29</definedName>
    <definedName name="tm_o0">Model!$K$29</definedName>
    <definedName name="tp_a">Model!$L$8</definedName>
    <definedName name="tp_a0">Model!$K$8</definedName>
    <definedName name="tp_o">Model!$L$9</definedName>
    <definedName name="tp_o0">Model!$K$9</definedName>
    <definedName name="tradeY">Model!$D$75</definedName>
    <definedName name="tradeY0">Model!$C$75</definedName>
    <definedName name="tradeYeq">Model!$H$75</definedName>
    <definedName name="TRent">Model!$D$80</definedName>
    <definedName name="Trent0">Model!$C$80</definedName>
    <definedName name="Trenteq">Model!$H$80</definedName>
    <definedName name="va_a">Model!$D$27</definedName>
    <definedName name="va_a0">Model!$C$27</definedName>
    <definedName name="va_aeq">Model!$H$27</definedName>
    <definedName name="va_o">Model!$D$28</definedName>
    <definedName name="va_o0">Model!$C$28</definedName>
    <definedName name="va_oeq">Model!$H$28</definedName>
    <definedName name="wage">Model!$D$16</definedName>
    <definedName name="wage0">Model!$C$16</definedName>
    <definedName name="wageeq">Model!$H$16</definedName>
    <definedName name="Walras">Model!$D$90</definedName>
    <definedName name="Walras0">Model!$C$90</definedName>
    <definedName name="wpe_a">Model!$D$72</definedName>
    <definedName name="wpe_a0">Model!$C$72</definedName>
    <definedName name="wpe_aeq">Model!$H$72</definedName>
    <definedName name="wpe_o">Model!$D$73</definedName>
    <definedName name="wpe_o0">Model!$C$73</definedName>
    <definedName name="wpe_oeq">Model!$H$73</definedName>
    <definedName name="wpebar_a">Model!$L$24</definedName>
    <definedName name="wpebar_a0">Model!$K$24</definedName>
    <definedName name="wpebar_o">Model!$L$25</definedName>
    <definedName name="wpebar_o0">Model!$K$25</definedName>
    <definedName name="wpm_a">Model!$L$26</definedName>
    <definedName name="wpm_a0">Model!$K$26</definedName>
    <definedName name="wpm_o">Model!$L$27</definedName>
    <definedName name="wpm_o0">Model!$K$27</definedName>
    <definedName name="xa_a">Model!$D$58</definedName>
    <definedName name="xa_a0">Model!$C$58</definedName>
    <definedName name="xa_aeq">Model!$H$58</definedName>
    <definedName name="xa_o">Model!$D$59</definedName>
    <definedName name="xa_o0">Model!$C$59</definedName>
    <definedName name="xa_oeq">Model!$H$59</definedName>
    <definedName name="xac_a">Model!$D$42</definedName>
    <definedName name="xac_a0">Model!$C$42</definedName>
    <definedName name="xac_aeq">Model!$H$42</definedName>
    <definedName name="xac_o">Model!$D$43</definedName>
    <definedName name="xac_o0">Model!$C$43</definedName>
    <definedName name="xac_oeq">Model!$H$43</definedName>
    <definedName name="xag_a">Model!$D$48</definedName>
    <definedName name="xag_a0">Model!$C$48</definedName>
    <definedName name="xag_aeq">Model!$H$48</definedName>
    <definedName name="xag_o">Model!$D$49</definedName>
    <definedName name="xag_o0">Model!$C$49</definedName>
    <definedName name="xag_oeq">Model!$H$49</definedName>
    <definedName name="xai_a">Model!$D$52</definedName>
    <definedName name="xai_a0">Model!$C$52</definedName>
    <definedName name="xai_aeq">Model!$H$52</definedName>
    <definedName name="xai_o">Model!$D$53</definedName>
    <definedName name="xai_o0">Model!$C$53</definedName>
    <definedName name="xai_oeq">Model!$H$53</definedName>
    <definedName name="xap_aa">Model!$D$12</definedName>
    <definedName name="xap_aa0">Model!$C$12</definedName>
    <definedName name="xap_aaeq">Model!$H$12</definedName>
    <definedName name="xap_ao">Model!$D$13</definedName>
    <definedName name="xap_ao0">Model!$C$13</definedName>
    <definedName name="xap_aoeq">Model!$H$13</definedName>
    <definedName name="xap_oa">Model!$D$14</definedName>
    <definedName name="xap_oa0">Model!$C$14</definedName>
    <definedName name="xap_oaeq">Model!$H$14</definedName>
    <definedName name="xap_oo">Model!$D$15</definedName>
    <definedName name="xap_oo0">Model!$C$15</definedName>
    <definedName name="xap_ooeq">Model!$H$15</definedName>
    <definedName name="xdd_a">Model!$D$60</definedName>
    <definedName name="xdd_a0">Model!$C$60</definedName>
    <definedName name="xdd_aeq">Model!$H$60</definedName>
    <definedName name="xdd_o">Model!$D$61</definedName>
    <definedName name="xdd_o0">Model!$C$61</definedName>
    <definedName name="xdd_oeq">Model!$H$61</definedName>
    <definedName name="xds_a">Model!$D$64</definedName>
    <definedName name="xds_a0">Model!$C$64</definedName>
    <definedName name="xds_aeq">Model!$H$64</definedName>
    <definedName name="xds_o">Model!$D$65</definedName>
    <definedName name="xds_o0">Model!$C$65</definedName>
    <definedName name="xds_oeq">Model!$H$65</definedName>
    <definedName name="xg">Model!$D$46</definedName>
    <definedName name="xg0">Model!$C$46</definedName>
    <definedName name="xgeq">Model!$H$46</definedName>
    <definedName name="xi">Model!$D$50</definedName>
    <definedName name="xi0">Model!$C$50</definedName>
    <definedName name="xieq">Model!$H$50</definedName>
    <definedName name="xm_a">Model!$D$62</definedName>
    <definedName name="xm_a0">Model!$C$62</definedName>
    <definedName name="xm_aeq">Model!$H$62</definedName>
    <definedName name="xm_o">Model!$D$63</definedName>
    <definedName name="xm_o0">Model!$C$63</definedName>
    <definedName name="xm_oeq">Model!$H$63</definedName>
    <definedName name="xp_a">Model!$D$4</definedName>
    <definedName name="xp_a0">Model!$C$4</definedName>
    <definedName name="xp_aeq">Model!$H$4</definedName>
    <definedName name="xp_o">Model!$D$5</definedName>
    <definedName name="xp_o0">Model!$C$5</definedName>
    <definedName name="xp_oeq">Model!$H$5</definedName>
    <definedName name="yd">Model!$D$40</definedName>
    <definedName name="yd0">Model!$C$40</definedName>
    <definedName name="ydeq">Model!$H$40</definedName>
    <definedName name="yh">Model!$D$39</definedName>
    <definedName name="yh_eq">Model!$H$39</definedName>
    <definedName name="yh0">Model!$C$39</definedName>
    <definedName name="ystar">Model!$D$44</definedName>
    <definedName name="ystar0">Model!$C$44</definedName>
    <definedName name="ystareq">Model!$H$44</definedName>
  </definedNames>
  <calcPr calcId="140001" concurrentCalc="0"/>
  <pivotCaches>
    <pivotCache cacheId="79" r:id="rId9"/>
  </pivotCaches>
  <extLst>
    <ext xmlns:mx="http://schemas.microsoft.com/office/mac/excel/2008/main" uri="{7523E5D3-25F3-A5E0-1632-64F254C22452}">
      <mx:ArchID Flags="2"/>
    </ext>
  </extLst>
</workbook>
</file>

<file path=xl/calcChain.xml><?xml version="1.0" encoding="utf-8"?>
<calcChain xmlns="http://schemas.openxmlformats.org/spreadsheetml/2006/main">
  <c r="B7" i="2" l="1" a="1"/>
  <c r="Q14" i="2"/>
  <c r="I22" i="2"/>
  <c r="K32" i="3"/>
  <c r="L32" i="3"/>
  <c r="C21" i="2"/>
  <c r="M8" i="2"/>
  <c r="Q8" i="2"/>
  <c r="K31" i="3"/>
  <c r="L31" i="3"/>
  <c r="B21" i="2"/>
  <c r="M7" i="2"/>
  <c r="Q7" i="2"/>
  <c r="K30" i="3"/>
  <c r="L30" i="3"/>
  <c r="C20" i="2"/>
  <c r="C22" i="2"/>
  <c r="K29" i="3"/>
  <c r="L29" i="3"/>
  <c r="B20" i="2"/>
  <c r="B22" i="2"/>
  <c r="K28" i="3"/>
  <c r="L28" i="3"/>
  <c r="L27" i="3"/>
  <c r="L26" i="3"/>
  <c r="L25" i="3"/>
  <c r="L24" i="3"/>
  <c r="L23" i="3"/>
  <c r="K17" i="2"/>
  <c r="I7" i="2"/>
  <c r="C52" i="3"/>
  <c r="I8" i="2"/>
  <c r="C53" i="3"/>
  <c r="K21" i="3"/>
  <c r="K22" i="3"/>
  <c r="L22" i="3"/>
  <c r="L21" i="3"/>
  <c r="J17" i="2"/>
  <c r="H7" i="2"/>
  <c r="C48" i="3"/>
  <c r="H8" i="2"/>
  <c r="C49" i="3"/>
  <c r="K19" i="3"/>
  <c r="K20" i="3"/>
  <c r="L20" i="3"/>
  <c r="L19" i="3"/>
  <c r="H12" i="2"/>
  <c r="K18" i="3"/>
  <c r="L18" i="3"/>
  <c r="G17" i="2"/>
  <c r="G7" i="2"/>
  <c r="C42" i="3"/>
  <c r="G8" i="2"/>
  <c r="C43" i="3"/>
  <c r="K16" i="3"/>
  <c r="K17" i="3"/>
  <c r="L17" i="3"/>
  <c r="L16" i="3"/>
  <c r="L15" i="3"/>
  <c r="L14" i="3"/>
  <c r="L13" i="3"/>
  <c r="L12" i="3"/>
  <c r="L11" i="3"/>
  <c r="L10" i="3"/>
  <c r="C7" i="2"/>
  <c r="C8" i="2"/>
  <c r="C9" i="2"/>
  <c r="C10" i="2"/>
  <c r="C11" i="2"/>
  <c r="C17" i="2"/>
  <c r="C18" i="2"/>
  <c r="C5" i="3"/>
  <c r="C26" i="3"/>
  <c r="K9" i="3"/>
  <c r="L9" i="3"/>
  <c r="B7" i="2"/>
  <c r="B8" i="2"/>
  <c r="B9" i="2"/>
  <c r="B10" i="2"/>
  <c r="B11" i="2"/>
  <c r="B17" i="2"/>
  <c r="B18" i="2"/>
  <c r="C4" i="3"/>
  <c r="C25" i="3"/>
  <c r="K8" i="3"/>
  <c r="L8" i="3"/>
  <c r="C13" i="3"/>
  <c r="C15" i="3"/>
  <c r="K5" i="3"/>
  <c r="K7" i="3"/>
  <c r="L7" i="3"/>
  <c r="C12" i="3"/>
  <c r="C14" i="3"/>
  <c r="K4" i="3"/>
  <c r="K6" i="3"/>
  <c r="L6" i="3"/>
  <c r="L5" i="3"/>
  <c r="L4" i="3"/>
  <c r="G19" i="2"/>
  <c r="C6" i="3"/>
  <c r="C7" i="3"/>
  <c r="C8" i="3"/>
  <c r="C9" i="3"/>
  <c r="C10" i="3"/>
  <c r="C11" i="3"/>
  <c r="C39" i="3"/>
  <c r="C89" i="3"/>
  <c r="D89" i="3"/>
  <c r="G14" i="2"/>
  <c r="C40" i="3"/>
  <c r="D40" i="3"/>
  <c r="D39" i="3"/>
  <c r="J14" i="2"/>
  <c r="C45" i="3"/>
  <c r="D45" i="3"/>
  <c r="H40" i="3"/>
  <c r="C74" i="3"/>
  <c r="C62" i="3"/>
  <c r="C63" i="3"/>
  <c r="K7" i="2"/>
  <c r="C66" i="3"/>
  <c r="K8" i="2"/>
  <c r="C67" i="3"/>
  <c r="C75" i="3"/>
  <c r="C76" i="3"/>
  <c r="C46" i="3"/>
  <c r="C87" i="3"/>
  <c r="C86" i="3"/>
  <c r="C85" i="3"/>
  <c r="C77" i="3"/>
  <c r="C88" i="3"/>
  <c r="D88" i="3"/>
  <c r="D87" i="3"/>
  <c r="D16" i="3"/>
  <c r="D6" i="3"/>
  <c r="D7" i="3"/>
  <c r="D17" i="3"/>
  <c r="D8" i="3"/>
  <c r="D18" i="3"/>
  <c r="D9" i="3"/>
  <c r="D19" i="3"/>
  <c r="D10" i="3"/>
  <c r="D20" i="3"/>
  <c r="D11" i="3"/>
  <c r="H87" i="3"/>
  <c r="D86" i="3"/>
  <c r="D85" i="3"/>
  <c r="J37" i="2"/>
  <c r="R37" i="2"/>
  <c r="C84" i="3"/>
  <c r="D84" i="3"/>
  <c r="C83" i="3"/>
  <c r="D83" i="3"/>
  <c r="H19" i="3"/>
  <c r="C82" i="3"/>
  <c r="D82" i="3"/>
  <c r="C81" i="3"/>
  <c r="D81" i="3"/>
  <c r="D80" i="3"/>
  <c r="C79" i="3"/>
  <c r="B29" i="4"/>
  <c r="D79" i="3"/>
  <c r="H81" i="3"/>
  <c r="E79" i="3"/>
  <c r="C78" i="3"/>
  <c r="D78" i="3"/>
  <c r="D77" i="3"/>
  <c r="D76" i="3"/>
  <c r="D47" i="3"/>
  <c r="D46" i="3"/>
  <c r="H77" i="3"/>
  <c r="D75" i="3"/>
  <c r="E75" i="3"/>
  <c r="D74" i="3"/>
  <c r="C73" i="3"/>
  <c r="D73" i="3"/>
  <c r="C72" i="3"/>
  <c r="D72" i="3"/>
  <c r="C70" i="3"/>
  <c r="D70" i="3"/>
  <c r="C71" i="3"/>
  <c r="D71" i="3"/>
  <c r="D62" i="3"/>
  <c r="D63" i="3"/>
  <c r="D90" i="3"/>
  <c r="Q29" i="2"/>
  <c r="Q52" i="2"/>
  <c r="D69" i="3"/>
  <c r="D67" i="3"/>
  <c r="C42" i="2"/>
  <c r="D68" i="3"/>
  <c r="H73" i="3"/>
  <c r="D66" i="3"/>
  <c r="C59" i="3"/>
  <c r="C57" i="3"/>
  <c r="C61" i="3"/>
  <c r="C65" i="3"/>
  <c r="D65" i="3"/>
  <c r="E65" i="3"/>
  <c r="C58" i="3"/>
  <c r="C56" i="3"/>
  <c r="C60" i="3"/>
  <c r="C64" i="3"/>
  <c r="D64" i="3"/>
  <c r="D98" i="3"/>
  <c r="D61" i="3"/>
  <c r="D55" i="3"/>
  <c r="L6" i="4"/>
  <c r="D59" i="3"/>
  <c r="D22" i="3"/>
  <c r="H61" i="3"/>
  <c r="D60" i="3"/>
  <c r="D14" i="3"/>
  <c r="D15" i="3"/>
  <c r="D43" i="3"/>
  <c r="D49" i="3"/>
  <c r="D53" i="3"/>
  <c r="H59" i="3"/>
  <c r="D58" i="3"/>
  <c r="D57" i="3"/>
  <c r="H57" i="3"/>
  <c r="D56" i="3"/>
  <c r="E55" i="3"/>
  <c r="D54" i="3"/>
  <c r="D52" i="3"/>
  <c r="D104" i="3"/>
  <c r="D51" i="3"/>
  <c r="C50" i="3"/>
  <c r="D50" i="3"/>
  <c r="C41" i="3"/>
  <c r="D41" i="3"/>
  <c r="H50" i="3"/>
  <c r="E49" i="3"/>
  <c r="D48" i="3"/>
  <c r="L112" i="3"/>
  <c r="G36" i="2"/>
  <c r="G29" i="2"/>
  <c r="G52" i="2"/>
  <c r="D42" i="3"/>
  <c r="H39" i="3"/>
  <c r="C38" i="3"/>
  <c r="D38" i="3"/>
  <c r="C37" i="3"/>
  <c r="D37" i="3"/>
  <c r="B19" i="4"/>
  <c r="H14" i="3"/>
  <c r="D36" i="3"/>
  <c r="D35" i="3"/>
  <c r="B18" i="4"/>
  <c r="D21" i="3"/>
  <c r="H35" i="3"/>
  <c r="D34" i="3"/>
  <c r="D33" i="3"/>
  <c r="E33" i="3"/>
  <c r="C32" i="3"/>
  <c r="D32" i="3"/>
  <c r="C31" i="3"/>
  <c r="D31" i="3"/>
  <c r="C27" i="3"/>
  <c r="B11" i="4"/>
  <c r="D27" i="3"/>
  <c r="D29" i="3"/>
  <c r="H31" i="3"/>
  <c r="D30" i="3"/>
  <c r="E29" i="3"/>
  <c r="C28" i="3"/>
  <c r="D28" i="3"/>
  <c r="B10" i="4"/>
  <c r="H6" i="3"/>
  <c r="D26" i="3"/>
  <c r="D25" i="3"/>
  <c r="B6" i="4"/>
  <c r="B7" i="4"/>
  <c r="H25" i="3"/>
  <c r="D24" i="3"/>
  <c r="D23" i="3"/>
  <c r="E23" i="3"/>
  <c r="D12" i="3"/>
  <c r="B38" i="2"/>
  <c r="E19" i="3"/>
  <c r="E17" i="3"/>
  <c r="E15" i="3"/>
  <c r="D13" i="3"/>
  <c r="C18" i="4"/>
  <c r="H13" i="3"/>
  <c r="C32" i="2"/>
  <c r="C55" i="2"/>
  <c r="H18" i="3"/>
  <c r="C30" i="2"/>
  <c r="D5" i="3"/>
  <c r="D4" i="3"/>
  <c r="M32" i="3"/>
  <c r="M28" i="3"/>
  <c r="M24" i="3"/>
  <c r="B42" i="2"/>
  <c r="B43" i="2"/>
  <c r="B66" i="2"/>
  <c r="F15" i="4"/>
  <c r="G15" i="4"/>
  <c r="H47" i="3"/>
  <c r="M16" i="3"/>
  <c r="M12" i="3"/>
  <c r="L97" i="3"/>
  <c r="K97" i="3"/>
  <c r="M97" i="3"/>
  <c r="M6" i="3"/>
  <c r="M14" i="3"/>
  <c r="M10" i="3"/>
  <c r="E87" i="3"/>
  <c r="H17" i="3"/>
  <c r="E73" i="3"/>
  <c r="E69" i="3"/>
  <c r="C43" i="2"/>
  <c r="C66" i="2"/>
  <c r="E61" i="3"/>
  <c r="E57" i="3"/>
  <c r="I29" i="2"/>
  <c r="I52" i="2"/>
  <c r="E51" i="3"/>
  <c r="J35" i="2"/>
  <c r="G35" i="2"/>
  <c r="H35" i="2"/>
  <c r="R35" i="2"/>
  <c r="B14" i="2"/>
  <c r="C14" i="2"/>
  <c r="D14" i="2"/>
  <c r="E14" i="2"/>
  <c r="F14" i="2"/>
  <c r="H14" i="2"/>
  <c r="I14" i="2"/>
  <c r="K14" i="2"/>
  <c r="L14" i="2"/>
  <c r="M14" i="2"/>
  <c r="N14" i="2"/>
  <c r="O14" i="2"/>
  <c r="P14" i="2"/>
  <c r="R14" i="2"/>
  <c r="R58" i="2"/>
  <c r="E35" i="3"/>
  <c r="H27" i="3"/>
  <c r="C28" i="2"/>
  <c r="C51" i="2"/>
  <c r="B31" i="2"/>
  <c r="C31" i="2"/>
  <c r="R31" i="2"/>
  <c r="D10" i="2"/>
  <c r="E10" i="2"/>
  <c r="F10" i="2"/>
  <c r="G10" i="2"/>
  <c r="H10" i="2"/>
  <c r="I10" i="2"/>
  <c r="J10" i="2"/>
  <c r="K10" i="2"/>
  <c r="L10" i="2"/>
  <c r="M10" i="2"/>
  <c r="N10" i="2"/>
  <c r="O10" i="2"/>
  <c r="P10" i="2"/>
  <c r="Q10" i="2"/>
  <c r="R10" i="2"/>
  <c r="R54" i="2"/>
  <c r="H58" i="3"/>
  <c r="E9" i="3"/>
  <c r="C7" i="4"/>
  <c r="H28" i="3"/>
  <c r="S75" i="8"/>
  <c r="D76" i="8"/>
  <c r="E76" i="8"/>
  <c r="F76" i="8"/>
  <c r="G76" i="8"/>
  <c r="H76" i="8"/>
  <c r="I76" i="8"/>
  <c r="J76" i="8"/>
  <c r="K76" i="8"/>
  <c r="L76" i="8"/>
  <c r="M76" i="8"/>
  <c r="N76" i="8"/>
  <c r="O76" i="8"/>
  <c r="P76" i="8"/>
  <c r="Q76" i="8"/>
  <c r="R76" i="8"/>
  <c r="C76" i="8"/>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87" i="9"/>
  <c r="C88" i="9"/>
  <c r="C89" i="9"/>
  <c r="C90" i="9"/>
  <c r="C4" i="9"/>
  <c r="C6" i="2"/>
  <c r="B6" i="2"/>
  <c r="A7" i="2"/>
  <c r="A28" i="2"/>
  <c r="A51" i="2"/>
  <c r="B29" i="2"/>
  <c r="C29" i="2"/>
  <c r="C52" i="2"/>
  <c r="H29" i="2"/>
  <c r="H52" i="2"/>
  <c r="B30" i="2"/>
  <c r="B53" i="2"/>
  <c r="C54" i="2"/>
  <c r="B32" i="2"/>
  <c r="B55" i="2"/>
  <c r="G40" i="2"/>
  <c r="N34" i="2"/>
  <c r="J39" i="2"/>
  <c r="R67" i="2"/>
  <c r="B27" i="2"/>
  <c r="B50" i="2"/>
  <c r="S3" i="8"/>
  <c r="S4" i="8"/>
  <c r="S5" i="8"/>
  <c r="S6" i="8"/>
  <c r="S7" i="8"/>
  <c r="S8" i="8"/>
  <c r="S9" i="8"/>
  <c r="S10" i="8"/>
  <c r="S11" i="8"/>
  <c r="S12" i="8"/>
  <c r="S13" i="8"/>
  <c r="S14" i="8"/>
  <c r="S15" i="8"/>
  <c r="S16" i="8"/>
  <c r="S17" i="8"/>
  <c r="S18" i="8"/>
  <c r="S19" i="8"/>
  <c r="S20" i="8"/>
  <c r="S21" i="8"/>
  <c r="S22" i="8"/>
  <c r="S23" i="8"/>
  <c r="S24" i="8"/>
  <c r="S25" i="8"/>
  <c r="S26" i="8"/>
  <c r="S27" i="8"/>
  <c r="S28" i="8"/>
  <c r="S29" i="8"/>
  <c r="S30" i="8"/>
  <c r="S31" i="8"/>
  <c r="S32" i="8"/>
  <c r="S33" i="8"/>
  <c r="S34" i="8"/>
  <c r="S35" i="8"/>
  <c r="S36" i="8"/>
  <c r="S37" i="8"/>
  <c r="S38" i="8"/>
  <c r="S39" i="8"/>
  <c r="S40" i="8"/>
  <c r="S41" i="8"/>
  <c r="S42" i="8"/>
  <c r="S43" i="8"/>
  <c r="S44" i="8"/>
  <c r="S45" i="8"/>
  <c r="S46" i="8"/>
  <c r="S47" i="8"/>
  <c r="S48" i="8"/>
  <c r="S49" i="8"/>
  <c r="S50" i="8"/>
  <c r="S51" i="8"/>
  <c r="S52" i="8"/>
  <c r="S53" i="8"/>
  <c r="S54" i="8"/>
  <c r="S55" i="8"/>
  <c r="S56" i="8"/>
  <c r="S57" i="8"/>
  <c r="S58" i="8"/>
  <c r="S59" i="8"/>
  <c r="S60" i="8"/>
  <c r="S61" i="8"/>
  <c r="S62" i="8"/>
  <c r="S63" i="8"/>
  <c r="S64" i="8"/>
  <c r="S65" i="8"/>
  <c r="S66" i="8"/>
  <c r="S67" i="8"/>
  <c r="S68" i="8"/>
  <c r="S69" i="8"/>
  <c r="S70" i="8"/>
  <c r="S71" i="8"/>
  <c r="S72" i="8"/>
  <c r="S73" i="8"/>
  <c r="S74" i="8"/>
  <c r="S2" i="8"/>
  <c r="K4"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C121" i="3"/>
  <c r="D121" i="3"/>
  <c r="D122" i="3"/>
  <c r="E122" i="3"/>
  <c r="E121" i="3"/>
  <c r="P24" i="3"/>
  <c r="P14" i="3"/>
  <c r="P12" i="3"/>
  <c r="P10" i="3"/>
  <c r="O68" i="3"/>
  <c r="P26" i="3"/>
  <c r="O54" i="3"/>
  <c r="O35" i="3"/>
  <c r="O33" i="3"/>
  <c r="O29" i="3"/>
  <c r="O23" i="3"/>
  <c r="O21" i="3"/>
  <c r="O19" i="3"/>
  <c r="O17" i="3"/>
  <c r="O80" i="3"/>
  <c r="O69" i="3"/>
  <c r="O55" i="3"/>
  <c r="O51" i="3"/>
  <c r="O47" i="3"/>
  <c r="O36" i="3"/>
  <c r="O34" i="3"/>
  <c r="O30" i="3"/>
  <c r="O24" i="3"/>
  <c r="O22" i="3"/>
  <c r="O20" i="3"/>
  <c r="O18" i="3"/>
  <c r="O16"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P27" i="3"/>
  <c r="P25" i="3"/>
  <c r="P23" i="3"/>
  <c r="P15" i="3"/>
  <c r="P13" i="3"/>
  <c r="P11" i="3"/>
  <c r="E36" i="3"/>
  <c r="E20" i="3"/>
  <c r="J106" i="3"/>
  <c r="J107" i="3"/>
  <c r="J108" i="3"/>
  <c r="J109" i="3"/>
  <c r="J105" i="3"/>
  <c r="E80" i="3"/>
  <c r="E68" i="3"/>
  <c r="E54" i="3"/>
  <c r="E34" i="3"/>
  <c r="E30" i="3"/>
  <c r="E24" i="3"/>
  <c r="E22" i="3"/>
  <c r="E18" i="3"/>
  <c r="E16" i="3"/>
  <c r="M27" i="3"/>
  <c r="M25" i="3"/>
  <c r="M23" i="3"/>
  <c r="M15" i="3"/>
  <c r="M13" i="3"/>
  <c r="M11" i="3"/>
  <c r="A1" i="3"/>
  <c r="L114" i="3"/>
  <c r="K114" i="3"/>
  <c r="M114" i="3"/>
  <c r="L100" i="3"/>
  <c r="K100" i="3"/>
  <c r="M100" i="3"/>
  <c r="L94" i="3"/>
  <c r="K94" i="3"/>
  <c r="M94" i="3"/>
  <c r="L98" i="3"/>
  <c r="K98" i="3"/>
  <c r="M98" i="3"/>
  <c r="H72" i="3"/>
  <c r="H54" i="3"/>
  <c r="H16" i="3"/>
  <c r="D97" i="3"/>
  <c r="C97" i="3"/>
  <c r="E97" i="3"/>
  <c r="H55" i="3"/>
  <c r="C4" i="4"/>
  <c r="C27" i="4"/>
  <c r="A19" i="4"/>
  <c r="E1" i="4"/>
  <c r="B4" i="4"/>
  <c r="F4" i="4"/>
  <c r="K4" i="4"/>
  <c r="B27" i="4"/>
  <c r="K44" i="2"/>
  <c r="E27" i="2"/>
  <c r="E50" i="2"/>
  <c r="F27" i="2"/>
  <c r="F50" i="2"/>
  <c r="G27" i="2"/>
  <c r="G50" i="2"/>
  <c r="H27" i="2"/>
  <c r="H50" i="2"/>
  <c r="I27" i="2"/>
  <c r="I50" i="2"/>
  <c r="J27" i="2"/>
  <c r="J50" i="2"/>
  <c r="K27" i="2"/>
  <c r="K50" i="2"/>
  <c r="L27" i="2"/>
  <c r="L50" i="2"/>
  <c r="M27" i="2"/>
  <c r="M50" i="2"/>
  <c r="N27" i="2"/>
  <c r="N50" i="2"/>
  <c r="O27" i="2"/>
  <c r="O50" i="2"/>
  <c r="P27" i="2"/>
  <c r="P50" i="2"/>
  <c r="A43" i="2"/>
  <c r="A66" i="2"/>
  <c r="A42" i="2"/>
  <c r="A65" i="2"/>
  <c r="A41" i="2"/>
  <c r="A64" i="2"/>
  <c r="A40" i="2"/>
  <c r="A63" i="2"/>
  <c r="A39" i="2"/>
  <c r="A62" i="2"/>
  <c r="A38" i="2"/>
  <c r="A61" i="2"/>
  <c r="A37" i="2"/>
  <c r="A60" i="2"/>
  <c r="A36" i="2"/>
  <c r="A59" i="2"/>
  <c r="A35" i="2"/>
  <c r="A58" i="2"/>
  <c r="A34" i="2"/>
  <c r="A57" i="2"/>
  <c r="A33" i="2"/>
  <c r="A56" i="2"/>
  <c r="A32" i="2"/>
  <c r="A55" i="2"/>
  <c r="A31" i="2"/>
  <c r="A54" i="2"/>
  <c r="A30" i="2"/>
  <c r="A53" i="2"/>
  <c r="D7" i="2"/>
  <c r="E7" i="2"/>
  <c r="F7" i="2"/>
  <c r="F51" i="2"/>
  <c r="O48" i="3"/>
  <c r="J7" i="2"/>
  <c r="L7" i="2"/>
  <c r="L8" i="2"/>
  <c r="L9" i="2"/>
  <c r="L11" i="2"/>
  <c r="L12" i="2"/>
  <c r="L13" i="2"/>
  <c r="L15" i="2"/>
  <c r="L16" i="2"/>
  <c r="L17" i="2"/>
  <c r="L18" i="2"/>
  <c r="L19" i="2"/>
  <c r="L20" i="2"/>
  <c r="L21" i="2"/>
  <c r="L22" i="2"/>
  <c r="L23" i="2"/>
  <c r="N7" i="2"/>
  <c r="O7" i="2"/>
  <c r="P7" i="2"/>
  <c r="P8" i="2"/>
  <c r="P9" i="2"/>
  <c r="P11" i="2"/>
  <c r="P12" i="2"/>
  <c r="P13" i="2"/>
  <c r="P15" i="2"/>
  <c r="P16" i="2"/>
  <c r="P17" i="2"/>
  <c r="P18" i="2"/>
  <c r="P19" i="2"/>
  <c r="P20" i="2"/>
  <c r="P21" i="2"/>
  <c r="P22" i="2"/>
  <c r="P23" i="2"/>
  <c r="D8" i="2"/>
  <c r="D52" i="2"/>
  <c r="E8" i="2"/>
  <c r="E52" i="2"/>
  <c r="F8" i="2"/>
  <c r="F52" i="2"/>
  <c r="J8" i="2"/>
  <c r="J52" i="2"/>
  <c r="L52" i="2"/>
  <c r="M52" i="2"/>
  <c r="N8" i="2"/>
  <c r="N52" i="2"/>
  <c r="O8" i="2"/>
  <c r="O52" i="2"/>
  <c r="P52" i="2"/>
  <c r="D9" i="2"/>
  <c r="E9" i="2"/>
  <c r="F9" i="2"/>
  <c r="G9" i="2"/>
  <c r="H9" i="2"/>
  <c r="I9" i="2"/>
  <c r="J9" i="2"/>
  <c r="K9" i="2"/>
  <c r="M9" i="2"/>
  <c r="N9" i="2"/>
  <c r="O9" i="2"/>
  <c r="Q9" i="2"/>
  <c r="R9" i="2"/>
  <c r="D53" i="2"/>
  <c r="E53" i="2"/>
  <c r="F53" i="2"/>
  <c r="G53" i="2"/>
  <c r="H53" i="2"/>
  <c r="I53" i="2"/>
  <c r="J53" i="2"/>
  <c r="K53" i="2"/>
  <c r="L53" i="2"/>
  <c r="M53" i="2"/>
  <c r="N53" i="2"/>
  <c r="O53" i="2"/>
  <c r="P53" i="2"/>
  <c r="Q53" i="2"/>
  <c r="D54" i="2"/>
  <c r="E54" i="2"/>
  <c r="F54" i="2"/>
  <c r="G54" i="2"/>
  <c r="H54" i="2"/>
  <c r="I54" i="2"/>
  <c r="J54" i="2"/>
  <c r="K54" i="2"/>
  <c r="L54" i="2"/>
  <c r="M54" i="2"/>
  <c r="N54" i="2"/>
  <c r="O54" i="2"/>
  <c r="P54" i="2"/>
  <c r="Q54" i="2"/>
  <c r="D11" i="2"/>
  <c r="E11" i="2"/>
  <c r="F11" i="2"/>
  <c r="G11" i="2"/>
  <c r="H11" i="2"/>
  <c r="I11" i="2"/>
  <c r="J11" i="2"/>
  <c r="K11" i="2"/>
  <c r="M11" i="2"/>
  <c r="N11" i="2"/>
  <c r="O11" i="2"/>
  <c r="Q11" i="2"/>
  <c r="R11" i="2"/>
  <c r="D55" i="2"/>
  <c r="E55" i="2"/>
  <c r="F55" i="2"/>
  <c r="G55" i="2"/>
  <c r="H55" i="2"/>
  <c r="I55" i="2"/>
  <c r="J55" i="2"/>
  <c r="K55" i="2"/>
  <c r="L55" i="2"/>
  <c r="M55" i="2"/>
  <c r="N55" i="2"/>
  <c r="O55" i="2"/>
  <c r="P55" i="2"/>
  <c r="Q55" i="2"/>
  <c r="B12" i="2"/>
  <c r="C12" i="2"/>
  <c r="C56" i="2"/>
  <c r="D12" i="2"/>
  <c r="E12" i="2"/>
  <c r="F12" i="2"/>
  <c r="G12" i="2"/>
  <c r="G56" i="2"/>
  <c r="I12" i="2"/>
  <c r="I56" i="2"/>
  <c r="J12" i="2"/>
  <c r="J56" i="2"/>
  <c r="K12" i="2"/>
  <c r="K56" i="2"/>
  <c r="L56" i="2"/>
  <c r="M12" i="2"/>
  <c r="M56" i="2"/>
  <c r="N12" i="2"/>
  <c r="N56" i="2"/>
  <c r="O12" i="2"/>
  <c r="O56" i="2"/>
  <c r="P56" i="2"/>
  <c r="Q12" i="2"/>
  <c r="Q56" i="2"/>
  <c r="B13" i="2"/>
  <c r="B57" i="2"/>
  <c r="C13" i="2"/>
  <c r="C57" i="2"/>
  <c r="D13" i="2"/>
  <c r="D57" i="2"/>
  <c r="E13" i="2"/>
  <c r="E57" i="2"/>
  <c r="F13" i="2"/>
  <c r="F57" i="2"/>
  <c r="G13" i="2"/>
  <c r="G57" i="2"/>
  <c r="H13" i="2"/>
  <c r="H57" i="2"/>
  <c r="I13" i="2"/>
  <c r="I57" i="2"/>
  <c r="J13" i="2"/>
  <c r="J57" i="2"/>
  <c r="K13" i="2"/>
  <c r="K57" i="2"/>
  <c r="M13" i="2"/>
  <c r="N13" i="2"/>
  <c r="O13" i="2"/>
  <c r="Q13" i="2"/>
  <c r="Q57" i="2"/>
  <c r="C58" i="2"/>
  <c r="D58" i="2"/>
  <c r="E58" i="2"/>
  <c r="F58" i="2"/>
  <c r="H58" i="2"/>
  <c r="I58" i="2"/>
  <c r="K58" i="2"/>
  <c r="L58" i="2"/>
  <c r="M58" i="2"/>
  <c r="N58" i="2"/>
  <c r="O58" i="2"/>
  <c r="P58" i="2"/>
  <c r="B15" i="2"/>
  <c r="C15" i="2"/>
  <c r="C59" i="2"/>
  <c r="D15" i="2"/>
  <c r="D59" i="2"/>
  <c r="E15" i="2"/>
  <c r="E59" i="2"/>
  <c r="F15" i="2"/>
  <c r="F59" i="2"/>
  <c r="G15" i="2"/>
  <c r="H15" i="2"/>
  <c r="H59" i="2"/>
  <c r="I15" i="2"/>
  <c r="I59" i="2"/>
  <c r="J15" i="2"/>
  <c r="J59" i="2"/>
  <c r="K15" i="2"/>
  <c r="K59" i="2"/>
  <c r="L59" i="2"/>
  <c r="M15" i="2"/>
  <c r="M59" i="2"/>
  <c r="N15" i="2"/>
  <c r="N59" i="2"/>
  <c r="O15" i="2"/>
  <c r="O59" i="2"/>
  <c r="P59" i="2"/>
  <c r="Q15" i="2"/>
  <c r="Q59" i="2"/>
  <c r="B16" i="2"/>
  <c r="C16" i="2"/>
  <c r="C60" i="2"/>
  <c r="D16" i="2"/>
  <c r="D60" i="2"/>
  <c r="E16" i="2"/>
  <c r="E60" i="2"/>
  <c r="F16" i="2"/>
  <c r="F60" i="2"/>
  <c r="G16" i="2"/>
  <c r="G60" i="2"/>
  <c r="H16" i="2"/>
  <c r="H60" i="2"/>
  <c r="I16" i="2"/>
  <c r="I60" i="2"/>
  <c r="J16" i="2"/>
  <c r="J60" i="2"/>
  <c r="K16" i="2"/>
  <c r="K60" i="2"/>
  <c r="L60" i="2"/>
  <c r="M16" i="2"/>
  <c r="M60" i="2"/>
  <c r="N16" i="2"/>
  <c r="N60" i="2"/>
  <c r="O16" i="2"/>
  <c r="O60" i="2"/>
  <c r="P60" i="2"/>
  <c r="Q16" i="2"/>
  <c r="Q60" i="2"/>
  <c r="D17" i="2"/>
  <c r="D61" i="2"/>
  <c r="E17" i="2"/>
  <c r="E61" i="2"/>
  <c r="F17" i="2"/>
  <c r="F61" i="2"/>
  <c r="H17" i="2"/>
  <c r="H61" i="2"/>
  <c r="I17" i="2"/>
  <c r="I61" i="2"/>
  <c r="L61" i="2"/>
  <c r="M17" i="2"/>
  <c r="M61" i="2"/>
  <c r="N17" i="2"/>
  <c r="N61" i="2"/>
  <c r="O17" i="2"/>
  <c r="O61" i="2"/>
  <c r="P61" i="2"/>
  <c r="Q17" i="2"/>
  <c r="Q61" i="2"/>
  <c r="D18" i="2"/>
  <c r="D62" i="2"/>
  <c r="E18" i="2"/>
  <c r="E62" i="2"/>
  <c r="F18" i="2"/>
  <c r="F62" i="2"/>
  <c r="G18" i="2"/>
  <c r="G62" i="2"/>
  <c r="H18" i="2"/>
  <c r="H62" i="2"/>
  <c r="I18" i="2"/>
  <c r="I62" i="2"/>
  <c r="J18" i="2"/>
  <c r="J62" i="2"/>
  <c r="K18" i="2"/>
  <c r="K62" i="2"/>
  <c r="L62" i="2"/>
  <c r="M18" i="2"/>
  <c r="M62" i="2"/>
  <c r="N18" i="2"/>
  <c r="N62" i="2"/>
  <c r="O18" i="2"/>
  <c r="O62" i="2"/>
  <c r="P62" i="2"/>
  <c r="Q18" i="2"/>
  <c r="Q62" i="2"/>
  <c r="B19" i="2"/>
  <c r="C19" i="2"/>
  <c r="C63" i="2"/>
  <c r="D19" i="2"/>
  <c r="D63" i="2"/>
  <c r="E19" i="2"/>
  <c r="E63" i="2"/>
  <c r="F19" i="2"/>
  <c r="F63" i="2"/>
  <c r="H19" i="2"/>
  <c r="H63" i="2"/>
  <c r="I19" i="2"/>
  <c r="I63" i="2"/>
  <c r="J19" i="2"/>
  <c r="J63" i="2"/>
  <c r="K19" i="2"/>
  <c r="K63" i="2"/>
  <c r="L63" i="2"/>
  <c r="M19" i="2"/>
  <c r="M63" i="2"/>
  <c r="N19" i="2"/>
  <c r="N63" i="2"/>
  <c r="O19" i="2"/>
  <c r="O63" i="2"/>
  <c r="P63" i="2"/>
  <c r="Q19" i="2"/>
  <c r="Q63" i="2"/>
  <c r="D20" i="2"/>
  <c r="D64" i="2"/>
  <c r="E20" i="2"/>
  <c r="E64" i="2"/>
  <c r="F20" i="2"/>
  <c r="F64" i="2"/>
  <c r="G20" i="2"/>
  <c r="G64" i="2"/>
  <c r="H20" i="2"/>
  <c r="H64" i="2"/>
  <c r="I20" i="2"/>
  <c r="I64" i="2"/>
  <c r="J20" i="2"/>
  <c r="J64" i="2"/>
  <c r="K20" i="2"/>
  <c r="K64" i="2"/>
  <c r="L64" i="2"/>
  <c r="M20" i="2"/>
  <c r="M64" i="2"/>
  <c r="N20" i="2"/>
  <c r="N64" i="2"/>
  <c r="O20" i="2"/>
  <c r="O64" i="2"/>
  <c r="P64" i="2"/>
  <c r="Q20" i="2"/>
  <c r="Q64" i="2"/>
  <c r="D21" i="2"/>
  <c r="D65" i="2"/>
  <c r="E21" i="2"/>
  <c r="E65" i="2"/>
  <c r="F21" i="2"/>
  <c r="F65" i="2"/>
  <c r="G21" i="2"/>
  <c r="G65" i="2"/>
  <c r="H21" i="2"/>
  <c r="H65" i="2"/>
  <c r="I21" i="2"/>
  <c r="I65" i="2"/>
  <c r="J21" i="2"/>
  <c r="J65" i="2"/>
  <c r="K21" i="2"/>
  <c r="K65" i="2"/>
  <c r="L65" i="2"/>
  <c r="M21" i="2"/>
  <c r="M65" i="2"/>
  <c r="N21" i="2"/>
  <c r="N65" i="2"/>
  <c r="O21" i="2"/>
  <c r="O65" i="2"/>
  <c r="P65" i="2"/>
  <c r="Q21" i="2"/>
  <c r="Q65" i="2"/>
  <c r="D22" i="2"/>
  <c r="D66" i="2"/>
  <c r="E22" i="2"/>
  <c r="E66" i="2"/>
  <c r="F22" i="2"/>
  <c r="F66" i="2"/>
  <c r="G22" i="2"/>
  <c r="G66" i="2"/>
  <c r="H22" i="2"/>
  <c r="H66" i="2"/>
  <c r="J22" i="2"/>
  <c r="J66" i="2"/>
  <c r="K22" i="2"/>
  <c r="K66" i="2"/>
  <c r="L66" i="2"/>
  <c r="M22" i="2"/>
  <c r="M66" i="2"/>
  <c r="N22" i="2"/>
  <c r="N66" i="2"/>
  <c r="O22" i="2"/>
  <c r="O66" i="2"/>
  <c r="P66" i="2"/>
  <c r="Q22" i="2"/>
  <c r="A26" i="2"/>
  <c r="S27" i="2"/>
  <c r="S50" i="2"/>
  <c r="A45" i="2"/>
  <c r="A68" i="2"/>
  <c r="A44" i="2"/>
  <c r="A67" i="2"/>
  <c r="D27" i="2"/>
  <c r="D50" i="2"/>
  <c r="Q27" i="2"/>
  <c r="Q50" i="2"/>
  <c r="R27" i="2"/>
  <c r="R50" i="2"/>
  <c r="B65" i="2"/>
  <c r="R20" i="2"/>
  <c r="R18" i="2"/>
  <c r="R17" i="2"/>
  <c r="K61" i="2"/>
  <c r="Q28" i="2"/>
  <c r="Q51" i="2"/>
  <c r="O23" i="2"/>
  <c r="O51" i="2"/>
  <c r="M23" i="2"/>
  <c r="M51" i="2"/>
  <c r="K23" i="2"/>
  <c r="K67" i="2"/>
  <c r="K51" i="2"/>
  <c r="E23" i="2"/>
  <c r="E51" i="2"/>
  <c r="C23" i="2"/>
  <c r="A8" i="2"/>
  <c r="A29" i="2"/>
  <c r="A52" i="2"/>
  <c r="C27" i="2"/>
  <c r="C50" i="2"/>
  <c r="R15" i="2"/>
  <c r="A18" i="4"/>
  <c r="G4" i="4"/>
  <c r="L4" i="4"/>
  <c r="M31" i="3"/>
  <c r="P31" i="3"/>
  <c r="P51" i="2"/>
  <c r="R21" i="2"/>
  <c r="Q58" i="2"/>
  <c r="R13" i="2"/>
  <c r="K52" i="2"/>
  <c r="R22" i="2"/>
  <c r="B63" i="2"/>
  <c r="R19" i="2"/>
  <c r="J61" i="2"/>
  <c r="B60" i="2"/>
  <c r="R16" i="2"/>
  <c r="R60" i="2"/>
  <c r="B58" i="2"/>
  <c r="H56" i="2"/>
  <c r="B56" i="2"/>
  <c r="R12" i="2"/>
  <c r="B52" i="2"/>
  <c r="R8" i="2"/>
  <c r="N23" i="2"/>
  <c r="N51" i="2"/>
  <c r="J23" i="2"/>
  <c r="J51" i="2"/>
  <c r="B23" i="2"/>
  <c r="R7" i="2"/>
  <c r="D23" i="2"/>
  <c r="E48" i="3"/>
  <c r="L51" i="2"/>
  <c r="D51" i="2"/>
  <c r="Q23" i="2"/>
  <c r="I23" i="2"/>
  <c r="H23" i="2"/>
  <c r="G23" i="2"/>
  <c r="F23" i="2"/>
  <c r="B59" i="2"/>
  <c r="P4" i="3"/>
  <c r="M4" i="3"/>
  <c r="M20" i="3"/>
  <c r="P20" i="3"/>
  <c r="C96" i="3"/>
  <c r="P21" i="3"/>
  <c r="M21" i="3"/>
  <c r="S7" i="2" a="1"/>
  <c r="O8" i="3"/>
  <c r="E8" i="3"/>
  <c r="B24" i="2" a="1"/>
  <c r="O14" i="3"/>
  <c r="E14" i="3"/>
  <c r="O49" i="3"/>
  <c r="O6" i="3"/>
  <c r="E6" i="3"/>
  <c r="P18" i="3"/>
  <c r="M18" i="3"/>
  <c r="P32" i="3"/>
  <c r="O13" i="3"/>
  <c r="E13" i="3"/>
  <c r="O40" i="3"/>
  <c r="E40" i="3"/>
  <c r="O42" i="3"/>
  <c r="E42" i="3"/>
  <c r="O15" i="3"/>
  <c r="C10" i="4"/>
  <c r="E7" i="3"/>
  <c r="O7" i="3"/>
  <c r="O9" i="3"/>
  <c r="C14" i="4"/>
  <c r="O11" i="3"/>
  <c r="C15" i="4"/>
  <c r="O63" i="3"/>
  <c r="P28" i="3"/>
  <c r="M30" i="3"/>
  <c r="K96" i="3"/>
  <c r="P30" i="3"/>
  <c r="O4" i="3"/>
  <c r="E4" i="3"/>
  <c r="O12" i="3"/>
  <c r="E12" i="3"/>
  <c r="E10" i="3"/>
  <c r="B15" i="4"/>
  <c r="O10" i="3"/>
  <c r="O45" i="3"/>
  <c r="H45" i="3"/>
  <c r="C103" i="3"/>
  <c r="P19" i="3"/>
  <c r="D103" i="3"/>
  <c r="E103" i="3"/>
  <c r="C95" i="3"/>
  <c r="M19" i="3"/>
  <c r="K101" i="3"/>
  <c r="O62" i="3"/>
  <c r="C98" i="3"/>
  <c r="E62" i="3"/>
  <c r="C106" i="3"/>
  <c r="K7" i="4"/>
  <c r="H62" i="3"/>
  <c r="O67" i="3"/>
  <c r="L11" i="4"/>
  <c r="O5" i="3"/>
  <c r="E5" i="3"/>
  <c r="O52" i="3"/>
  <c r="E52" i="3"/>
  <c r="K102" i="3"/>
  <c r="O66" i="3"/>
  <c r="E66" i="3"/>
  <c r="K11" i="4"/>
  <c r="H66" i="3"/>
  <c r="O43" i="3"/>
  <c r="E43" i="3"/>
  <c r="O53" i="3"/>
  <c r="E53" i="3"/>
  <c r="O41" i="3"/>
  <c r="E41" i="3"/>
  <c r="H6" i="4"/>
  <c r="M29" i="3"/>
  <c r="P29" i="3"/>
  <c r="O73" i="3"/>
  <c r="O37" i="3"/>
  <c r="P16" i="3"/>
  <c r="C94" i="3"/>
  <c r="F6" i="4"/>
  <c r="F7" i="4"/>
  <c r="C102" i="3"/>
  <c r="O57" i="3"/>
  <c r="E70" i="3"/>
  <c r="K14" i="4"/>
  <c r="H70" i="3"/>
  <c r="O70" i="3"/>
  <c r="E26" i="3"/>
  <c r="O26" i="3"/>
  <c r="O71" i="3"/>
  <c r="L14" i="4"/>
  <c r="E71" i="3"/>
  <c r="C114" i="3"/>
  <c r="C111" i="3"/>
  <c r="K112" i="3"/>
  <c r="O46" i="3"/>
  <c r="H46" i="3"/>
  <c r="E46" i="3"/>
  <c r="O83" i="3"/>
  <c r="E58" i="3"/>
  <c r="O58" i="3"/>
  <c r="M5" i="3"/>
  <c r="P5" i="3"/>
  <c r="O56" i="3"/>
  <c r="E56" i="3"/>
  <c r="O84" i="3"/>
  <c r="E84" i="3"/>
  <c r="E32" i="3"/>
  <c r="C11" i="4"/>
  <c r="H32" i="3"/>
  <c r="O32" i="3"/>
  <c r="I43" i="2"/>
  <c r="I66" i="2"/>
  <c r="O27" i="3"/>
  <c r="O87" i="3"/>
  <c r="O59" i="3"/>
  <c r="E59" i="3"/>
  <c r="O31" i="3"/>
  <c r="S22" i="2"/>
  <c r="S20" i="2"/>
  <c r="S18" i="2"/>
  <c r="S16" i="2"/>
  <c r="S14" i="2"/>
  <c r="S12" i="2"/>
  <c r="S10" i="2"/>
  <c r="S8" i="2"/>
  <c r="S21" i="2"/>
  <c r="S19" i="2"/>
  <c r="S17" i="2"/>
  <c r="S15" i="2"/>
  <c r="S13" i="2"/>
  <c r="S11" i="2"/>
  <c r="S9" i="2"/>
  <c r="S7" i="2"/>
  <c r="P22" i="3"/>
  <c r="M22" i="3"/>
  <c r="L7" i="4"/>
  <c r="C104" i="3"/>
  <c r="O25" i="3"/>
  <c r="E25" i="3"/>
  <c r="C105" i="3"/>
  <c r="C90" i="3"/>
  <c r="O72" i="3"/>
  <c r="E72" i="3"/>
  <c r="K95" i="3"/>
  <c r="O75" i="3"/>
  <c r="B41" i="2"/>
  <c r="B64" i="2"/>
  <c r="H34" i="3"/>
  <c r="O82" i="3"/>
  <c r="E82" i="3"/>
  <c r="O28" i="3"/>
  <c r="E28" i="3"/>
  <c r="O86" i="3"/>
  <c r="E86" i="3"/>
  <c r="O78" i="3"/>
  <c r="B25" i="4"/>
  <c r="E78" i="3"/>
  <c r="O39" i="3"/>
  <c r="E39" i="3"/>
  <c r="O24" i="2"/>
  <c r="P24" i="2"/>
  <c r="N24" i="2"/>
  <c r="L24" i="2"/>
  <c r="J24" i="2"/>
  <c r="H24" i="2"/>
  <c r="F24" i="2"/>
  <c r="D24" i="2"/>
  <c r="B24" i="2"/>
  <c r="Q24" i="2"/>
  <c r="M24" i="2"/>
  <c r="K24" i="2"/>
  <c r="I24" i="2"/>
  <c r="G24" i="2"/>
  <c r="E24" i="2"/>
  <c r="C24" i="2"/>
  <c r="O81" i="3"/>
  <c r="E81" i="3"/>
  <c r="I38" i="2"/>
  <c r="P6" i="3"/>
  <c r="B14" i="4"/>
  <c r="O38" i="3"/>
  <c r="E38" i="3"/>
  <c r="C6" i="4"/>
  <c r="C19" i="4"/>
  <c r="O89" i="3"/>
  <c r="O74" i="3"/>
  <c r="E74" i="3"/>
  <c r="H8" i="3"/>
  <c r="O79" i="3"/>
  <c r="C113" i="3"/>
  <c r="P8" i="3"/>
  <c r="M8" i="3"/>
  <c r="O50" i="3"/>
  <c r="E50" i="3"/>
  <c r="F19" i="4"/>
  <c r="G19" i="4"/>
  <c r="O61" i="3"/>
  <c r="E60" i="3"/>
  <c r="K6" i="4"/>
  <c r="O60" i="3"/>
  <c r="P9" i="3"/>
  <c r="M9" i="3"/>
  <c r="P17" i="3"/>
  <c r="M17" i="3"/>
  <c r="G6" i="4"/>
  <c r="G7" i="4"/>
  <c r="H7" i="4"/>
  <c r="H5" i="4"/>
  <c r="F10" i="4"/>
  <c r="H10" i="4"/>
  <c r="G10" i="4"/>
  <c r="C112" i="3"/>
  <c r="C29" i="4"/>
  <c r="H53" i="3"/>
  <c r="K113" i="3"/>
  <c r="M113" i="3"/>
  <c r="O85" i="3"/>
  <c r="Q43" i="2"/>
  <c r="Q66" i="2"/>
  <c r="M7" i="3"/>
  <c r="P7" i="3"/>
  <c r="C38" i="2"/>
  <c r="C61" i="2"/>
  <c r="C107" i="3"/>
  <c r="C110" i="3"/>
  <c r="C99" i="3"/>
  <c r="C33" i="4"/>
  <c r="B33" i="4"/>
  <c r="H30" i="3"/>
  <c r="C123" i="3"/>
  <c r="H22" i="3"/>
  <c r="H38" i="3"/>
  <c r="H26" i="3"/>
  <c r="C115" i="3"/>
  <c r="G11" i="4"/>
  <c r="H11" i="4"/>
  <c r="F11" i="4"/>
  <c r="C39" i="2"/>
  <c r="C62" i="2"/>
  <c r="H24" i="3"/>
  <c r="O64" i="3"/>
  <c r="E64" i="3"/>
  <c r="K10" i="4"/>
  <c r="O65" i="3"/>
  <c r="L10" i="4"/>
  <c r="H51" i="3"/>
  <c r="O76" i="3"/>
  <c r="E76" i="3"/>
  <c r="K99" i="3"/>
  <c r="K105" i="3"/>
  <c r="O77" i="3"/>
  <c r="H65" i="3"/>
  <c r="C124" i="3"/>
  <c r="K107" i="3"/>
  <c r="K106" i="3"/>
  <c r="K109" i="3"/>
  <c r="K108" i="3"/>
  <c r="E88" i="3"/>
  <c r="H89" i="3"/>
  <c r="O88" i="3"/>
  <c r="K115" i="3"/>
  <c r="H56" i="3"/>
  <c r="H49" i="3"/>
  <c r="H68" i="3"/>
  <c r="M26" i="3"/>
  <c r="G63" i="2"/>
  <c r="H23" i="3"/>
  <c r="H33" i="3"/>
  <c r="L95" i="3"/>
  <c r="M95" i="3"/>
  <c r="B54" i="2"/>
  <c r="G58" i="2"/>
  <c r="J58" i="2"/>
  <c r="R43" i="2"/>
  <c r="R66" i="2"/>
  <c r="H4" i="3"/>
  <c r="H52" i="3"/>
  <c r="B39" i="2"/>
  <c r="M34" i="2"/>
  <c r="H41" i="3"/>
  <c r="H74" i="3"/>
  <c r="D102" i="3"/>
  <c r="H79" i="3"/>
  <c r="H15" i="3"/>
  <c r="D96" i="3"/>
  <c r="E96" i="3"/>
  <c r="L113" i="3"/>
  <c r="H75" i="3"/>
  <c r="C41" i="2"/>
  <c r="C64" i="2"/>
  <c r="H63" i="3"/>
  <c r="L96" i="3"/>
  <c r="M96" i="3"/>
  <c r="H71" i="3"/>
  <c r="D95" i="3"/>
  <c r="H67" i="3"/>
  <c r="E45" i="3"/>
  <c r="E11" i="3"/>
  <c r="H20" i="3"/>
  <c r="D106" i="3"/>
  <c r="E106" i="3"/>
  <c r="H28" i="2"/>
  <c r="H51" i="2"/>
  <c r="R40" i="2"/>
  <c r="R63" i="2"/>
  <c r="D111" i="3"/>
  <c r="E111" i="3"/>
  <c r="E95" i="3"/>
  <c r="E102" i="3"/>
  <c r="R39" i="2"/>
  <c r="R62" i="2"/>
  <c r="B62" i="2"/>
  <c r="M44" i="2"/>
  <c r="M67" i="2"/>
  <c r="M57" i="2"/>
  <c r="N44" i="2"/>
  <c r="N67" i="2"/>
  <c r="N57" i="2"/>
  <c r="D33" i="2"/>
  <c r="R30" i="2"/>
  <c r="R53" i="2"/>
  <c r="C53" i="2"/>
  <c r="C44" i="2"/>
  <c r="C67" i="2"/>
  <c r="B61" i="2"/>
  <c r="G59" i="2"/>
  <c r="R36" i="2"/>
  <c r="R59" i="2"/>
  <c r="M112" i="3"/>
  <c r="L115" i="3"/>
  <c r="M115" i="3"/>
  <c r="E104" i="3"/>
  <c r="D112" i="3"/>
  <c r="E112" i="3"/>
  <c r="E98" i="3"/>
  <c r="D114" i="3"/>
  <c r="E114" i="3"/>
  <c r="R42" i="2"/>
  <c r="R65" i="2"/>
  <c r="C65" i="2"/>
  <c r="P34" i="2"/>
  <c r="J44" i="2"/>
  <c r="J67" i="2"/>
  <c r="R41" i="2"/>
  <c r="R64" i="2"/>
  <c r="O34" i="2"/>
  <c r="L99" i="3"/>
  <c r="L106" i="3"/>
  <c r="H86" i="3"/>
  <c r="H11" i="3"/>
  <c r="E67" i="3"/>
  <c r="H12" i="3"/>
  <c r="H48" i="3"/>
  <c r="H9" i="3"/>
  <c r="H78" i="3"/>
  <c r="E89" i="3"/>
  <c r="H82" i="3"/>
  <c r="E85" i="3"/>
  <c r="H36" i="3"/>
  <c r="H21" i="3"/>
  <c r="H5" i="3"/>
  <c r="Q44" i="2"/>
  <c r="Q67" i="2"/>
  <c r="R29" i="2"/>
  <c r="R52" i="2"/>
  <c r="E33" i="2"/>
  <c r="F33" i="2"/>
  <c r="R32" i="2"/>
  <c r="R55" i="2"/>
  <c r="H29" i="3"/>
  <c r="D94" i="3"/>
  <c r="H64" i="3"/>
  <c r="E77" i="3"/>
  <c r="H80" i="3"/>
  <c r="H60" i="3"/>
  <c r="H76" i="3"/>
  <c r="H83" i="3"/>
  <c r="H84" i="3"/>
  <c r="G38" i="2"/>
  <c r="G61" i="2"/>
  <c r="H37" i="3"/>
  <c r="L101" i="3"/>
  <c r="M101" i="3"/>
  <c r="D105" i="3"/>
  <c r="E31" i="3"/>
  <c r="E27" i="3"/>
  <c r="L102" i="3"/>
  <c r="M102" i="3"/>
  <c r="E83" i="3"/>
  <c r="H38" i="2"/>
  <c r="H44" i="2"/>
  <c r="H67" i="2"/>
  <c r="E37" i="3"/>
  <c r="H7" i="3"/>
  <c r="H10" i="3"/>
  <c r="E63" i="3"/>
  <c r="H69" i="3"/>
  <c r="H88" i="3"/>
  <c r="E21" i="3"/>
  <c r="E47" i="3"/>
  <c r="I28" i="2"/>
  <c r="G28" i="2"/>
  <c r="B28" i="2"/>
  <c r="H85" i="3"/>
  <c r="G51" i="2"/>
  <c r="G44" i="2"/>
  <c r="G67" i="2"/>
  <c r="R28" i="2"/>
  <c r="B44" i="2"/>
  <c r="B51" i="2"/>
  <c r="I44" i="2"/>
  <c r="I67" i="2"/>
  <c r="I51" i="2"/>
  <c r="E105" i="3"/>
  <c r="D113" i="3"/>
  <c r="E113" i="3"/>
  <c r="F44" i="2"/>
  <c r="F67" i="2"/>
  <c r="F56" i="2"/>
  <c r="O44" i="2"/>
  <c r="O67" i="2"/>
  <c r="O57" i="2"/>
  <c r="D56" i="2"/>
  <c r="D44" i="2"/>
  <c r="D67" i="2"/>
  <c r="R33" i="2"/>
  <c r="R56" i="2"/>
  <c r="D107" i="3"/>
  <c r="R38" i="2"/>
  <c r="R61" i="2"/>
  <c r="L34" i="2"/>
  <c r="E94" i="3"/>
  <c r="D99" i="3"/>
  <c r="D110" i="3"/>
  <c r="E44" i="2"/>
  <c r="E67" i="2"/>
  <c r="E56" i="2"/>
  <c r="M99" i="3"/>
  <c r="L109" i="3"/>
  <c r="L108" i="3"/>
  <c r="L105" i="3"/>
  <c r="P44" i="2"/>
  <c r="P67" i="2"/>
  <c r="P57" i="2"/>
  <c r="L107" i="3"/>
  <c r="E110" i="3"/>
  <c r="B67" i="2"/>
  <c r="E99" i="3"/>
  <c r="D115" i="3"/>
  <c r="E115" i="3"/>
  <c r="R34" i="2"/>
  <c r="R57" i="2"/>
  <c r="L44" i="2"/>
  <c r="L67" i="2"/>
  <c r="L57" i="2"/>
  <c r="D123" i="3"/>
  <c r="E107" i="3"/>
  <c r="R51" i="2"/>
  <c r="S28" i="2" a="1"/>
  <c r="B45" i="2" a="1"/>
  <c r="S33" i="2"/>
  <c r="S30" i="2"/>
  <c r="S34" i="2"/>
  <c r="S43" i="2"/>
  <c r="S36" i="2"/>
  <c r="S35" i="2"/>
  <c r="S39" i="2"/>
  <c r="S38" i="2"/>
  <c r="S28" i="2"/>
  <c r="S40" i="2"/>
  <c r="S32" i="2"/>
  <c r="S41" i="2"/>
  <c r="S42" i="2"/>
  <c r="S37" i="2"/>
  <c r="S31" i="2"/>
  <c r="S29" i="2"/>
  <c r="B68" i="2" a="1"/>
  <c r="S51" i="2" a="1"/>
  <c r="D124" i="3"/>
  <c r="E124" i="3"/>
  <c r="E123" i="3"/>
  <c r="H45" i="2"/>
  <c r="Q45" i="2"/>
  <c r="G45" i="2"/>
  <c r="D45" i="2"/>
  <c r="I45" i="2"/>
  <c r="J45" i="2"/>
  <c r="L45" i="2"/>
  <c r="M45" i="2"/>
  <c r="N45" i="2"/>
  <c r="B45" i="2"/>
  <c r="E45" i="2"/>
  <c r="C45" i="2"/>
  <c r="K45" i="2"/>
  <c r="P45" i="2"/>
  <c r="F45" i="2"/>
  <c r="O45" i="2"/>
  <c r="S51" i="2"/>
  <c r="S52" i="2"/>
  <c r="S65" i="2"/>
  <c r="S59" i="2"/>
  <c r="S53" i="2"/>
  <c r="S57" i="2"/>
  <c r="S60" i="2"/>
  <c r="S58" i="2"/>
  <c r="S61" i="2"/>
  <c r="S56" i="2"/>
  <c r="S62" i="2"/>
  <c r="S55" i="2"/>
  <c r="S66" i="2"/>
  <c r="S54" i="2"/>
  <c r="S64" i="2"/>
  <c r="S63" i="2"/>
  <c r="M68" i="2"/>
  <c r="Q68" i="2"/>
  <c r="P68" i="2"/>
  <c r="F68" i="2"/>
  <c r="H68" i="2"/>
  <c r="D68" i="2"/>
  <c r="B68" i="2"/>
  <c r="C68" i="2"/>
  <c r="K68" i="2"/>
  <c r="N68" i="2"/>
  <c r="G68" i="2"/>
  <c r="E68" i="2"/>
  <c r="O68" i="2"/>
  <c r="L68" i="2"/>
  <c r="I68" i="2"/>
  <c r="J68" i="2"/>
  <c r="F8" i="4" a="1"/>
  <c r="F8" i="4"/>
  <c r="G8" i="4"/>
  <c r="D117" i="3"/>
  <c r="D119" i="3"/>
  <c r="C117" i="3"/>
  <c r="C119" i="3"/>
  <c r="E119" i="3"/>
  <c r="D118" i="3"/>
  <c r="C118" i="3"/>
  <c r="E118" i="3"/>
  <c r="E117" i="3"/>
  <c r="C44" i="3"/>
  <c r="D44" i="3"/>
  <c r="H43" i="3"/>
  <c r="H42" i="3"/>
  <c r="H44" i="3"/>
  <c r="O44" i="3"/>
  <c r="E44" i="3"/>
</calcChain>
</file>

<file path=xl/comments1.xml><?xml version="1.0" encoding="utf-8"?>
<comments xmlns="http://schemas.openxmlformats.org/spreadsheetml/2006/main">
  <authors>
    <author>Dominique van der Mensbrugghe</author>
  </authors>
  <commentList>
    <comment ref="A1" authorId="0">
      <text>
        <r>
          <rPr>
            <b/>
            <sz val="12"/>
            <color indexed="81"/>
            <rFont val="Tahoma"/>
            <family val="2"/>
          </rPr>
          <t>Base 57-sector Chinese SAM, sourced ffrom GTAP release 5.0, in $1997 millions.</t>
        </r>
      </text>
    </comment>
  </commentList>
</comments>
</file>

<file path=xl/comments2.xml><?xml version="1.0" encoding="utf-8"?>
<comments xmlns="http://schemas.openxmlformats.org/spreadsheetml/2006/main">
  <authors>
    <author>Dominique van der Mensbrugghe</author>
  </authors>
  <commentList>
    <comment ref="A47" authorId="0">
      <text>
        <r>
          <rPr>
            <b/>
            <sz val="8"/>
            <color indexed="81"/>
            <rFont val="Tahoma"/>
            <family val="2"/>
          </rPr>
          <t>The scale parameter will change the scale of the SAM for the model solution. The base data is in millions of 1995 U.S. dollars. Thus a scaling parameter of 1000 (i.e. 10^-3) will make the model solve in billions of dollars. Poor scaling can affect the convergence property of the model.</t>
        </r>
      </text>
    </comment>
  </commentList>
</comments>
</file>

<file path=xl/comments3.xml><?xml version="1.0" encoding="utf-8"?>
<comments xmlns="http://schemas.openxmlformats.org/spreadsheetml/2006/main">
  <authors>
    <author>Dominique van der Mensbrugghe</author>
  </authors>
  <commentList>
    <comment ref="A1" authorId="0">
      <text>
        <r>
          <rPr>
            <b/>
            <sz val="9"/>
            <color indexed="81"/>
            <rFont val="Tahoma"/>
            <family val="2"/>
          </rPr>
          <t xml:space="preserve">Model parameters can be divided into two groups. The first group, called the </t>
        </r>
        <r>
          <rPr>
            <b/>
            <i/>
            <sz val="9"/>
            <color indexed="81"/>
            <rFont val="Tahoma"/>
            <family val="2"/>
          </rPr>
          <t>key</t>
        </r>
        <r>
          <rPr>
            <b/>
            <sz val="9"/>
            <color indexed="81"/>
            <rFont val="Tahoma"/>
            <family val="2"/>
          </rPr>
          <t xml:space="preserve"> parameters, are typically elasticities (substitution, transformation, income, and price). These are user imposed based on econometric estimates, other studies, or varied for sensitivity analysis. The other parameters of the model are typically </t>
        </r>
        <r>
          <rPr>
            <b/>
            <i/>
            <sz val="9"/>
            <color indexed="81"/>
            <rFont val="Tahoma"/>
            <family val="2"/>
          </rPr>
          <t>calibrated</t>
        </r>
        <r>
          <rPr>
            <b/>
            <sz val="9"/>
            <color indexed="81"/>
            <rFont val="Tahoma"/>
            <family val="2"/>
          </rPr>
          <t xml:space="preserve">. They are calibrated using the base year data and the </t>
        </r>
        <r>
          <rPr>
            <b/>
            <i/>
            <sz val="9"/>
            <color indexed="81"/>
            <rFont val="Tahoma"/>
            <family val="2"/>
          </rPr>
          <t>key</t>
        </r>
        <r>
          <rPr>
            <b/>
            <sz val="9"/>
            <color indexed="81"/>
            <rFont val="Tahoma"/>
            <family val="2"/>
          </rPr>
          <t xml:space="preserve"> parameters, in order to make the model produce results consistent with the given data in the absence of any perturbation. In other words, the base data together with the </t>
        </r>
        <r>
          <rPr>
            <b/>
            <i/>
            <sz val="9"/>
            <color indexed="81"/>
            <rFont val="Tahoma"/>
            <family val="2"/>
          </rPr>
          <t>key</t>
        </r>
        <r>
          <rPr>
            <b/>
            <sz val="9"/>
            <color indexed="81"/>
            <rFont val="Tahoma"/>
            <family val="2"/>
          </rPr>
          <t xml:space="preserve"> elasticities are assumed to represent a solution to the model.
In this worksheet, all cells highlighted in pink represent </t>
        </r>
        <r>
          <rPr>
            <b/>
            <i/>
            <sz val="9"/>
            <color indexed="81"/>
            <rFont val="Tahoma"/>
            <family val="2"/>
          </rPr>
          <t>key</t>
        </r>
        <r>
          <rPr>
            <b/>
            <sz val="9"/>
            <color indexed="81"/>
            <rFont val="Tahoma"/>
            <family val="2"/>
          </rPr>
          <t xml:space="preserve"> elasticities and users should feel free to modify them. The other parameters are calibrated, using formulas which depend on base year data values. The formulas should not be modified unless the model specification is being changed. Note that it is important that the calibration formulas only use </t>
        </r>
        <r>
          <rPr>
            <b/>
            <u/>
            <sz val="9"/>
            <color indexed="81"/>
            <rFont val="Tahoma"/>
            <family val="2"/>
          </rPr>
          <t>base</t>
        </r>
        <r>
          <rPr>
            <b/>
            <sz val="9"/>
            <color indexed="81"/>
            <rFont val="Tahoma"/>
            <family val="2"/>
          </rPr>
          <t xml:space="preserve"> year data, i.e. variables ending with the suffix 0. Otherwise, the calibration formulas would implicitly become a part of the model solution, i.e. the calibrated parameters would be endogenous. All numerical cells have a defined name which is observable in the text box above Column A of the worksheet.</t>
        </r>
      </text>
    </comment>
    <comment ref="A5" authorId="0">
      <text>
        <r>
          <rPr>
            <b/>
            <sz val="8"/>
            <color indexed="81"/>
            <rFont val="Tahoma"/>
            <family val="2"/>
          </rPr>
          <t>sigmap represents the substitution elasticity between aggregate intermediate demand and a composite bundle composed of capital, labor and a sector specific factor (VA), in essence value added.
An elasticity of 0 implies a fixed share cost function, i.e. Leontief technology. Use the value of 1.01 instead of 1 for a Cobb-Douglas (fixed value shares) specification.</t>
        </r>
      </text>
    </comment>
    <comment ref="F5" authorId="0">
      <text>
        <r>
          <rPr>
            <b/>
            <sz val="8"/>
            <color indexed="81"/>
            <rFont val="Tahoma"/>
            <family val="2"/>
          </rPr>
          <t>The eta parameters represent the given income elasticities of household demand. The income elasticity of saving is determined residually as part of the calibration process. See further comments below.</t>
        </r>
        <r>
          <rPr>
            <sz val="8"/>
            <color indexed="81"/>
            <rFont val="Tahoma"/>
            <family val="2"/>
          </rPr>
          <t xml:space="preserve">
</t>
        </r>
      </text>
    </comment>
    <comment ref="H5" authorId="0">
      <text>
        <r>
          <rPr>
            <b/>
            <sz val="8"/>
            <color indexed="81"/>
            <rFont val="Tahoma"/>
            <family val="2"/>
          </rPr>
          <t>The income elasticity of saving is determined residually as part of the calibration process. It is equal to the marginal propensity to save, divided by the saving share of disposable income (=mu(s)/share(s)).</t>
        </r>
        <r>
          <rPr>
            <sz val="8"/>
            <color indexed="81"/>
            <rFont val="Tahoma"/>
            <family val="2"/>
          </rPr>
          <t xml:space="preserve">
</t>
        </r>
      </text>
    </comment>
    <comment ref="J5" authorId="0">
      <text>
        <r>
          <rPr>
            <b/>
            <sz val="9"/>
            <color indexed="81"/>
            <rFont val="Tahoma"/>
            <family val="2"/>
          </rPr>
          <t>sigmam represents the Armington CES substitution elasticity between domestic demand and imports. It is sector specific. High elasticities imply an approximation of the law of one price.
Do not use the value 1, instead put in 1.01</t>
        </r>
      </text>
    </comment>
    <comment ref="F6" authorId="0">
      <text>
        <r>
          <rPr>
            <b/>
            <sz val="8"/>
            <color indexed="81"/>
            <rFont val="Tahoma"/>
            <family val="2"/>
          </rPr>
          <t>The share vector simply contains the budget shares for the various components of household demand including household saving. By construction, the shares sum to 1.</t>
        </r>
        <r>
          <rPr>
            <sz val="8"/>
            <color indexed="81"/>
            <rFont val="Tahoma"/>
            <family val="2"/>
          </rPr>
          <t xml:space="preserve">
</t>
        </r>
      </text>
    </comment>
    <comment ref="K6" authorId="0">
      <text>
        <r>
          <rPr>
            <b/>
            <sz val="8"/>
            <color indexed="81"/>
            <rFont val="Tahoma"/>
            <family val="2"/>
          </rPr>
          <t>The share parameters are calibrated from the initial data. Users only input the substitution elasticities, the area shaded in pink.</t>
        </r>
        <r>
          <rPr>
            <sz val="7"/>
            <color indexed="81"/>
            <rFont val="Tahoma"/>
            <family val="2"/>
          </rPr>
          <t xml:space="preserve">
</t>
        </r>
      </text>
    </comment>
    <comment ref="F7" authorId="0">
      <text>
        <r>
          <rPr>
            <b/>
            <sz val="8"/>
            <color indexed="81"/>
            <rFont val="Tahoma"/>
            <family val="2"/>
          </rPr>
          <t>The marginal propensity to comsume parameters are calibrated using the consumption share vector and given income elasticities. The formula is simply eta(i)*share(i).</t>
        </r>
        <r>
          <rPr>
            <sz val="8"/>
            <color indexed="81"/>
            <rFont val="Tahoma"/>
            <family val="2"/>
          </rPr>
          <t xml:space="preserve">
</t>
        </r>
      </text>
    </comment>
    <comment ref="H7" authorId="0">
      <text>
        <r>
          <rPr>
            <b/>
            <sz val="8"/>
            <color indexed="81"/>
            <rFont val="Tahoma"/>
            <family val="2"/>
          </rPr>
          <t>The marginal propensity to consumer (mpc) parameters must sum to one for the sake of consistency of the consumer demand system. The calibration presented here imposes consistency by calculating the mpc of saving residually. This implicitly determines the income elasticity of saving residually. Alternatively, the income elasticity of all goods AND saving can be given, and then adjusted so that the consistency constraint holds.</t>
        </r>
        <r>
          <rPr>
            <sz val="8"/>
            <color indexed="81"/>
            <rFont val="Tahoma"/>
            <family val="2"/>
          </rPr>
          <t xml:space="preserve">
</t>
        </r>
      </text>
    </comment>
    <comment ref="F8" authorId="0">
      <text>
        <r>
          <rPr>
            <b/>
            <sz val="8"/>
            <color indexed="81"/>
            <rFont val="Tahoma"/>
            <family val="2"/>
          </rPr>
          <t>The theta parameters (the subsistence parameters of the ELES) are calibrated through matrix operations since the ELES is linear in the theta parameters. The matrices used for calibration are defined below. Note that by construction it is assumed that the subsistence minima for savings is 0.</t>
        </r>
        <r>
          <rPr>
            <sz val="8"/>
            <color indexed="81"/>
            <rFont val="Tahoma"/>
            <family val="2"/>
          </rPr>
          <t xml:space="preserve">
</t>
        </r>
      </text>
    </comment>
    <comment ref="A9" authorId="0">
      <text>
        <r>
          <rPr>
            <b/>
            <sz val="8"/>
            <color indexed="81"/>
            <rFont val="Tahoma"/>
            <family val="2"/>
          </rPr>
          <t>sigmav represents the substitution elasticity between labor and a composite bundle composed of capital and and the sector specific factor (KF), in essence capital-labor substitution.
An elasticity of 0 implies a fixed share cost function, i.e. Leontief technology. Use the value of 1.01 instead of 1 for a Cobb-Douglas (fixed value shares) specification.</t>
        </r>
      </text>
    </comment>
    <comment ref="J9" authorId="0">
      <text>
        <r>
          <rPr>
            <b/>
            <sz val="8"/>
            <color indexed="81"/>
            <rFont val="Tahoma"/>
            <family val="2"/>
          </rPr>
          <t>sigmax is the CET transformation elasticity between domestic supply and export supply.</t>
        </r>
      </text>
    </comment>
    <comment ref="F10" authorId="0">
      <text>
        <r>
          <rPr>
            <b/>
            <sz val="8"/>
            <color indexed="81"/>
            <rFont val="Tahoma"/>
            <family val="2"/>
          </rPr>
          <t xml:space="preserve">Square matrix inverted to calibrate the subsistence minima (theta) of the ELES. The diagonal elements are equal to 1-mu(i). The off-diagonal elements (cell i,j) are equal to -mu(i)*P(j)/P(i). The matrix is defined as AMat
</t>
        </r>
        <r>
          <rPr>
            <sz val="8"/>
            <color indexed="81"/>
            <rFont val="Tahoma"/>
            <family val="2"/>
          </rPr>
          <t xml:space="preserve">
</t>
        </r>
      </text>
    </comment>
    <comment ref="H10" authorId="0">
      <text>
        <r>
          <rPr>
            <b/>
            <sz val="8"/>
            <color indexed="81"/>
            <rFont val="Tahoma"/>
            <family val="2"/>
          </rPr>
          <t>Column vector used to calibrate the subsistence minima (theta) of the ELES. Each element is equal to C(i)-mu(i)*Yd/P(i). The vector is defined as CMat.</t>
        </r>
        <r>
          <rPr>
            <sz val="8"/>
            <color indexed="81"/>
            <rFont val="Tahoma"/>
            <family val="2"/>
          </rPr>
          <t xml:space="preserve">
</t>
        </r>
      </text>
    </comment>
    <comment ref="A13" authorId="0">
      <text>
        <r>
          <rPr>
            <b/>
            <sz val="8"/>
            <color indexed="81"/>
            <rFont val="Tahoma"/>
            <family val="2"/>
          </rPr>
          <t>sigmak represents the substitution elasticity between capital and the sector specific factor.
An elasticity of 0 implies a fixed share cost function, i.e. Leontief technology. Use the value of 1.01 instead of 1 for a Cobb-Douglas (fixed value shares) specification.</t>
        </r>
      </text>
    </comment>
    <comment ref="J13" authorId="0">
      <text>
        <r>
          <rPr>
            <b/>
            <sz val="8"/>
            <color indexed="81"/>
            <rFont val="Tahoma"/>
            <family val="2"/>
          </rPr>
          <t>epse is the foreign elasticity of export demand with respect to price. A value of infinity represents the small country assumption, so higher values imply a flatter demand curve.</t>
        </r>
      </text>
    </comment>
    <comment ref="E14" authorId="0">
      <text>
        <r>
          <rPr>
            <b/>
            <sz val="8"/>
            <color indexed="81"/>
            <rFont val="Tahoma"/>
            <family val="2"/>
          </rPr>
          <t>The government expenditure function is specified as a CES function. An elasticity of 0 implies a fixed share expenditure function. Use the value of 1.01 instead of 1 for a Cobb-Douglas (fixed value shares) specification.</t>
        </r>
      </text>
    </comment>
    <comment ref="A17" authorId="0">
      <text>
        <r>
          <rPr>
            <b/>
            <sz val="8"/>
            <color indexed="81"/>
            <rFont val="Tahoma"/>
            <family val="2"/>
          </rPr>
          <t>Aggregate intermediate demand is allocated across sectors using a fixed coefficients (Leontief) specification. The resulting input-output coefficients are defined with respect to aggregate intermediate demand NOT the volume of output.</t>
        </r>
      </text>
    </comment>
    <comment ref="E18" authorId="0">
      <text>
        <r>
          <rPr>
            <b/>
            <sz val="8"/>
            <color indexed="81"/>
            <rFont val="Tahoma"/>
            <family val="2"/>
          </rPr>
          <t>The investment expenditure function is specified as a CES function. An elasticity of 0 implies a fixed share expenditure function. Use the value of 1.01 instead of 1 for a Cobb-Douglas (fixed value shares) specification.</t>
        </r>
      </text>
    </comment>
    <comment ref="A24" authorId="0">
      <text>
        <r>
          <rPr>
            <b/>
            <sz val="8"/>
            <color indexed="81"/>
            <rFont val="Tahoma"/>
            <family val="2"/>
          </rPr>
          <t>Omegal represents the labor supply elasticity. A value of 0 implies a fixed labor supply.</t>
        </r>
      </text>
    </comment>
    <comment ref="A28" authorId="0">
      <text>
        <r>
          <rPr>
            <b/>
            <sz val="8"/>
            <color indexed="81"/>
            <rFont val="Tahoma"/>
            <family val="2"/>
          </rPr>
          <t>Capital allocation across sectors is modeled using a CET transformation function. Omegak represents the transformation elasticity. Sector-specific capital can be modeled using an elasticity of 0. Perfectly mobile capital can be modeled using a high level for the transformation elasticity.</t>
        </r>
      </text>
    </comment>
    <comment ref="A32" authorId="0">
      <text>
        <r>
          <rPr>
            <b/>
            <sz val="8"/>
            <color indexed="81"/>
            <rFont val="Tahoma"/>
            <family val="2"/>
          </rPr>
          <t>Omegaf represents the  supply elasticity of the sector specific factors. A value of 0 implies a fixed supply.</t>
        </r>
      </text>
    </comment>
  </commentList>
</comments>
</file>

<file path=xl/sharedStrings.xml><?xml version="1.0" encoding="utf-8"?>
<sst xmlns="http://schemas.openxmlformats.org/spreadsheetml/2006/main" count="12241" uniqueCount="1012">
  <si>
    <t>Region</t>
  </si>
  <si>
    <t>rlab</t>
  </si>
  <si>
    <t>clab</t>
  </si>
  <si>
    <t>Value</t>
  </si>
  <si>
    <t>arg</t>
  </si>
  <si>
    <t>depr</t>
  </si>
  <si>
    <t>hh</t>
  </si>
  <si>
    <t>etax</t>
  </si>
  <si>
    <t>gov</t>
  </si>
  <si>
    <t>fct</t>
  </si>
  <si>
    <t>OTH</t>
  </si>
  <si>
    <t>itax</t>
  </si>
  <si>
    <t>tar</t>
  </si>
  <si>
    <t>kap</t>
  </si>
  <si>
    <t>lab</t>
  </si>
  <si>
    <t>inv</t>
  </si>
  <si>
    <t>row</t>
  </si>
  <si>
    <t>marg</t>
  </si>
  <si>
    <t>aus</t>
  </si>
  <si>
    <t>bra</t>
  </si>
  <si>
    <t>can</t>
  </si>
  <si>
    <t>chl</t>
  </si>
  <si>
    <t>chn</t>
  </si>
  <si>
    <t>col</t>
  </si>
  <si>
    <t>deu</t>
  </si>
  <si>
    <t>dnk</t>
  </si>
  <si>
    <t>fin</t>
  </si>
  <si>
    <t>gbr</t>
  </si>
  <si>
    <t>hkg</t>
  </si>
  <si>
    <t>idn</t>
  </si>
  <si>
    <t>ind</t>
  </si>
  <si>
    <t>jpn</t>
  </si>
  <si>
    <t>kor</t>
  </si>
  <si>
    <t>lka</t>
  </si>
  <si>
    <t>mar</t>
  </si>
  <si>
    <t>mex</t>
  </si>
  <si>
    <t>mys</t>
  </si>
  <si>
    <t>nzl</t>
  </si>
  <si>
    <t>phl</t>
  </si>
  <si>
    <t>reu</t>
  </si>
  <si>
    <t>sgp</t>
  </si>
  <si>
    <t>swe</t>
  </si>
  <si>
    <t>tha</t>
  </si>
  <si>
    <t>tur</t>
  </si>
  <si>
    <t>twn</t>
  </si>
  <si>
    <t>ury</t>
  </si>
  <si>
    <t>usa</t>
  </si>
  <si>
    <t>ven</t>
  </si>
  <si>
    <t>vnm</t>
  </si>
  <si>
    <t>xp_o</t>
  </si>
  <si>
    <t>ld_o</t>
  </si>
  <si>
    <t>kd_o</t>
  </si>
  <si>
    <t>xap_oo</t>
  </si>
  <si>
    <t>wage</t>
  </si>
  <si>
    <t>rent_o</t>
  </si>
  <si>
    <t>pa_o</t>
  </si>
  <si>
    <t>xp_oeq</t>
  </si>
  <si>
    <t>itp_oo</t>
  </si>
  <si>
    <t>tp_o</t>
  </si>
  <si>
    <t>pp_o</t>
  </si>
  <si>
    <t>px_o</t>
  </si>
  <si>
    <t>pp_oeq</t>
  </si>
  <si>
    <t>px_oeq</t>
  </si>
  <si>
    <t>sigmap</t>
  </si>
  <si>
    <t>and</t>
  </si>
  <si>
    <t>ava</t>
  </si>
  <si>
    <t>al</t>
  </si>
  <si>
    <t>ak</t>
  </si>
  <si>
    <t>lambdal_o</t>
  </si>
  <si>
    <t>lambdak_o</t>
  </si>
  <si>
    <t>kd_oeq</t>
  </si>
  <si>
    <t>ld_oeq</t>
  </si>
  <si>
    <t>xap_ooeq</t>
  </si>
  <si>
    <t>yh</t>
  </si>
  <si>
    <t>yd</t>
  </si>
  <si>
    <t>savh</t>
  </si>
  <si>
    <t>xac_o</t>
  </si>
  <si>
    <t>itc_o</t>
  </si>
  <si>
    <t>eta</t>
  </si>
  <si>
    <t>Saving</t>
  </si>
  <si>
    <t>share</t>
  </si>
  <si>
    <t>mu</t>
  </si>
  <si>
    <t>theta</t>
  </si>
  <si>
    <t>xac_oeq</t>
  </si>
  <si>
    <t>ystar</t>
  </si>
  <si>
    <t>ystareq</t>
  </si>
  <si>
    <t>savheq</t>
  </si>
  <si>
    <t>ydeq</t>
  </si>
  <si>
    <t>kappa</t>
  </si>
  <si>
    <t>deprY</t>
  </si>
  <si>
    <t>gtrh</t>
  </si>
  <si>
    <t>pindex</t>
  </si>
  <si>
    <t>Grev</t>
  </si>
  <si>
    <t>xag_o</t>
  </si>
  <si>
    <t>xai_o</t>
  </si>
  <si>
    <t>xag_oeq</t>
  </si>
  <si>
    <t>xai_oeq</t>
  </si>
  <si>
    <t>xg</t>
  </si>
  <si>
    <t>pg</t>
  </si>
  <si>
    <t>sigmag</t>
  </si>
  <si>
    <t>sigmai</t>
  </si>
  <si>
    <t>xi</t>
  </si>
  <si>
    <t>pi</t>
  </si>
  <si>
    <t>iti_o</t>
  </si>
  <si>
    <t>xgeq</t>
  </si>
  <si>
    <t>pgeq</t>
  </si>
  <si>
    <t>xieq</t>
  </si>
  <si>
    <t>pieq</t>
  </si>
  <si>
    <t>wpe_o</t>
  </si>
  <si>
    <t>wpebar_o</t>
  </si>
  <si>
    <t>wpm_o</t>
  </si>
  <si>
    <t>er</t>
  </si>
  <si>
    <t>pd_o</t>
  </si>
  <si>
    <t>pm_o</t>
  </si>
  <si>
    <t>tm_o</t>
  </si>
  <si>
    <t>xa_o</t>
  </si>
  <si>
    <t>sigmam</t>
  </si>
  <si>
    <t>Domestic</t>
  </si>
  <si>
    <t>Imported</t>
  </si>
  <si>
    <t>xdd_o</t>
  </si>
  <si>
    <t>xm_o</t>
  </si>
  <si>
    <t>pd_oeq</t>
  </si>
  <si>
    <t>pm_oeq</t>
  </si>
  <si>
    <t>xa_oeq</t>
  </si>
  <si>
    <t>xdd_oeq</t>
  </si>
  <si>
    <t>xm_oeq</t>
  </si>
  <si>
    <t>wageeq</t>
  </si>
  <si>
    <t>rent_oeq</t>
  </si>
  <si>
    <t>pa_oeq</t>
  </si>
  <si>
    <t>xds_o</t>
  </si>
  <si>
    <t>es_o</t>
  </si>
  <si>
    <t>pe_o</t>
  </si>
  <si>
    <t>ed_o</t>
  </si>
  <si>
    <t>xds_oeq</t>
  </si>
  <si>
    <t>es_oeq</t>
  </si>
  <si>
    <t>pe_oeq</t>
  </si>
  <si>
    <t>ed_oeq</t>
  </si>
  <si>
    <t>wpe_oeq</t>
  </si>
  <si>
    <t>te_o</t>
  </si>
  <si>
    <t>Exported</t>
  </si>
  <si>
    <t>itaxY</t>
  </si>
  <si>
    <t>itg_o</t>
  </si>
  <si>
    <t>tradeY</t>
  </si>
  <si>
    <t>savg</t>
  </si>
  <si>
    <t>itaxYeq</t>
  </si>
  <si>
    <t>tradeYeq</t>
  </si>
  <si>
    <t>Greveq</t>
  </si>
  <si>
    <t>savgeq</t>
  </si>
  <si>
    <t>epse</t>
  </si>
  <si>
    <t>Exp.Dem.</t>
  </si>
  <si>
    <t>savf</t>
  </si>
  <si>
    <t>deprYeq</t>
  </si>
  <si>
    <t>Ls</t>
  </si>
  <si>
    <t>omegal</t>
  </si>
  <si>
    <t>als</t>
  </si>
  <si>
    <t>lseq</t>
  </si>
  <si>
    <t>TK</t>
  </si>
  <si>
    <t>Trent</t>
  </si>
  <si>
    <t>ks_o</t>
  </si>
  <si>
    <t>Tkeq</t>
  </si>
  <si>
    <t>Trenteq</t>
  </si>
  <si>
    <t>ks_oeq</t>
  </si>
  <si>
    <t>omegak</t>
  </si>
  <si>
    <t>rsg</t>
  </si>
  <si>
    <t>pindexeq</t>
  </si>
  <si>
    <t>rgdp</t>
  </si>
  <si>
    <t>gdpfc</t>
  </si>
  <si>
    <t>rgdpeq</t>
  </si>
  <si>
    <t>gdpfceq</t>
  </si>
  <si>
    <t>rsgeq</t>
  </si>
  <si>
    <t>kappaeq</t>
  </si>
  <si>
    <t>Walras</t>
  </si>
  <si>
    <t>Endogenous Variables</t>
  </si>
  <si>
    <t>Model Equations</t>
  </si>
  <si>
    <t>Exogenous Variables</t>
  </si>
  <si>
    <t>Production Parameters</t>
  </si>
  <si>
    <t>Final Demand Parameters</t>
  </si>
  <si>
    <t>ELES</t>
  </si>
  <si>
    <t>Trade Parameters</t>
  </si>
  <si>
    <t>Government</t>
  </si>
  <si>
    <t>Investment</t>
  </si>
  <si>
    <t>Factor Supply Parameters</t>
  </si>
  <si>
    <t>Labor</t>
  </si>
  <si>
    <t>Capital</t>
  </si>
  <si>
    <t>sigmax</t>
  </si>
  <si>
    <t>Initial SAM</t>
  </si>
  <si>
    <t>Model Parameters</t>
  </si>
  <si>
    <t>Seq</t>
  </si>
  <si>
    <t>CountryCode</t>
  </si>
  <si>
    <t>Country</t>
  </si>
  <si>
    <t>GTAPCode</t>
  </si>
  <si>
    <t>GTAPName</t>
  </si>
  <si>
    <t>Australia</t>
  </si>
  <si>
    <t>hmd</t>
  </si>
  <si>
    <t>Heard &amp; McDonald Islands</t>
  </si>
  <si>
    <t>nfk</t>
  </si>
  <si>
    <t>Norfolk Island</t>
  </si>
  <si>
    <t>New Zealand</t>
  </si>
  <si>
    <t>Japan</t>
  </si>
  <si>
    <t>Republic of Korea</t>
  </si>
  <si>
    <t>Korea</t>
  </si>
  <si>
    <t>Indonesia</t>
  </si>
  <si>
    <t>tmp</t>
  </si>
  <si>
    <t>East Timor</t>
  </si>
  <si>
    <t>Malaysia</t>
  </si>
  <si>
    <t>Philippines</t>
  </si>
  <si>
    <t>Singapore</t>
  </si>
  <si>
    <t>Thailand</t>
  </si>
  <si>
    <t>Viet Nam</t>
  </si>
  <si>
    <t>Vietnam</t>
  </si>
  <si>
    <t>China</t>
  </si>
  <si>
    <t>Hong Kong</t>
  </si>
  <si>
    <t>Taiwan</t>
  </si>
  <si>
    <t>India</t>
  </si>
  <si>
    <t>Sri Lanka</t>
  </si>
  <si>
    <t>bgd</t>
  </si>
  <si>
    <t>Bangladesh</t>
  </si>
  <si>
    <t>Rest of South Asia</t>
  </si>
  <si>
    <t>btn</t>
  </si>
  <si>
    <t>Bhutan</t>
  </si>
  <si>
    <t>mdv</t>
  </si>
  <si>
    <t>Maldives</t>
  </si>
  <si>
    <t>npl</t>
  </si>
  <si>
    <t>Nepal</t>
  </si>
  <si>
    <t>pak</t>
  </si>
  <si>
    <t>Pakistan</t>
  </si>
  <si>
    <t>Canada</t>
  </si>
  <si>
    <t>asm</t>
  </si>
  <si>
    <t>American Samoa</t>
  </si>
  <si>
    <t>United States</t>
  </si>
  <si>
    <t>gum</t>
  </si>
  <si>
    <t>Guam</t>
  </si>
  <si>
    <t>mnp</t>
  </si>
  <si>
    <t>Northern Mariana Islands</t>
  </si>
  <si>
    <t>pri</t>
  </si>
  <si>
    <t>Puerto Rico</t>
  </si>
  <si>
    <t>vir</t>
  </si>
  <si>
    <t>United States Virgin Islands</t>
  </si>
  <si>
    <t>United States of America</t>
  </si>
  <si>
    <t>Mexico</t>
  </si>
  <si>
    <t>aia</t>
  </si>
  <si>
    <t>Anguilla</t>
  </si>
  <si>
    <t>Central America and the Caribbean</t>
  </si>
  <si>
    <t>atg</t>
  </si>
  <si>
    <t>Antigua &amp; Barbuda</t>
  </si>
  <si>
    <t>abw</t>
  </si>
  <si>
    <t>Aruba</t>
  </si>
  <si>
    <t>bhs</t>
  </si>
  <si>
    <t>Bahamas</t>
  </si>
  <si>
    <t>brb</t>
  </si>
  <si>
    <t>Barbados</t>
  </si>
  <si>
    <t>blz</t>
  </si>
  <si>
    <t>Belize</t>
  </si>
  <si>
    <t>vgb</t>
  </si>
  <si>
    <t>British Virgin Islands</t>
  </si>
  <si>
    <t>cym</t>
  </si>
  <si>
    <t>Cayman Islands</t>
  </si>
  <si>
    <t>cri</t>
  </si>
  <si>
    <t>Costa Rica</t>
  </si>
  <si>
    <t>cub</t>
  </si>
  <si>
    <t>Cuba</t>
  </si>
  <si>
    <t>dma</t>
  </si>
  <si>
    <t>Dominica</t>
  </si>
  <si>
    <t>dom</t>
  </si>
  <si>
    <t>Dominican Republic</t>
  </si>
  <si>
    <t>slv</t>
  </si>
  <si>
    <t>El Salvador</t>
  </si>
  <si>
    <t>grd</t>
  </si>
  <si>
    <t>Grenada</t>
  </si>
  <si>
    <t>gtm</t>
  </si>
  <si>
    <t>Guatemala</t>
  </si>
  <si>
    <t>hti</t>
  </si>
  <si>
    <t>Haiti</t>
  </si>
  <si>
    <t>hnd</t>
  </si>
  <si>
    <t>Honduras</t>
  </si>
  <si>
    <t>jam</t>
  </si>
  <si>
    <t>Jamaica</t>
  </si>
  <si>
    <t>msr</t>
  </si>
  <si>
    <t>Montserrat</t>
  </si>
  <si>
    <t>ant</t>
  </si>
  <si>
    <t>Netherlands Antilles</t>
  </si>
  <si>
    <t>nic</t>
  </si>
  <si>
    <t>Nicaragua</t>
  </si>
  <si>
    <t>pan</t>
  </si>
  <si>
    <t>Panama</t>
  </si>
  <si>
    <t>kna</t>
  </si>
  <si>
    <t>St. Kitts &amp; Nevis</t>
  </si>
  <si>
    <t>lca</t>
  </si>
  <si>
    <t>St. Lucia</t>
  </si>
  <si>
    <t>elo</t>
  </si>
  <si>
    <t>Saint Pierre et Miq</t>
  </si>
  <si>
    <t>vct</t>
  </si>
  <si>
    <t>St. Vincent and the Grenadines</t>
  </si>
  <si>
    <t>tto</t>
  </si>
  <si>
    <t>Trinidad &amp; Tobago</t>
  </si>
  <si>
    <t>tca</t>
  </si>
  <si>
    <t>Turks and Caicos Islands</t>
  </si>
  <si>
    <t>Venezuela</t>
  </si>
  <si>
    <t>Columbia</t>
  </si>
  <si>
    <t>Colombia</t>
  </si>
  <si>
    <t>bol</t>
  </si>
  <si>
    <t>Bolivia</t>
  </si>
  <si>
    <t>Rest of the Andean Pact</t>
  </si>
  <si>
    <t>ecu</t>
  </si>
  <si>
    <t>Ecuador</t>
  </si>
  <si>
    <t>per</t>
  </si>
  <si>
    <t>Peru</t>
  </si>
  <si>
    <t>Argentina</t>
  </si>
  <si>
    <t>Brazil</t>
  </si>
  <si>
    <t>Chile</t>
  </si>
  <si>
    <t>Uruguay</t>
  </si>
  <si>
    <t>guy</t>
  </si>
  <si>
    <t>Guyana</t>
  </si>
  <si>
    <t>Rest of South America</t>
  </si>
  <si>
    <t>pry</t>
  </si>
  <si>
    <t>Paraguay</t>
  </si>
  <si>
    <t>sur</t>
  </si>
  <si>
    <t>Suriname</t>
  </si>
  <si>
    <t>chi</t>
  </si>
  <si>
    <t>Channel Islands</t>
  </si>
  <si>
    <t>Great Britain</t>
  </si>
  <si>
    <t>imy</t>
  </si>
  <si>
    <t>Isle of Man</t>
  </si>
  <si>
    <t>United Kingdom</t>
  </si>
  <si>
    <t>Germany</t>
  </si>
  <si>
    <t>Denmark</t>
  </si>
  <si>
    <t>Sweden</t>
  </si>
  <si>
    <t>Finland</t>
  </si>
  <si>
    <t>aut</t>
  </si>
  <si>
    <t>Austria</t>
  </si>
  <si>
    <t>bel</t>
  </si>
  <si>
    <t>Belgium</t>
  </si>
  <si>
    <t>fra</t>
  </si>
  <si>
    <t>France</t>
  </si>
  <si>
    <t>guf</t>
  </si>
  <si>
    <t>French Guiana</t>
  </si>
  <si>
    <t>gib</t>
  </si>
  <si>
    <t>Gibraltar</t>
  </si>
  <si>
    <t>grc</t>
  </si>
  <si>
    <t>Greece</t>
  </si>
  <si>
    <t>glp</t>
  </si>
  <si>
    <t>Guadeloupe</t>
  </si>
  <si>
    <t>vat</t>
  </si>
  <si>
    <t>Holy See</t>
  </si>
  <si>
    <t>irl</t>
  </si>
  <si>
    <t>Ireland</t>
  </si>
  <si>
    <t>ita</t>
  </si>
  <si>
    <t>Italy</t>
  </si>
  <si>
    <t>lux</t>
  </si>
  <si>
    <t>Luxembourg</t>
  </si>
  <si>
    <t>mtq</t>
  </si>
  <si>
    <t>Martinique</t>
  </si>
  <si>
    <t>mon</t>
  </si>
  <si>
    <t>Monaco</t>
  </si>
  <si>
    <t>nld</t>
  </si>
  <si>
    <t>Netherlands</t>
  </si>
  <si>
    <t>prt</t>
  </si>
  <si>
    <t>Portugal</t>
  </si>
  <si>
    <t>Reunion</t>
  </si>
  <si>
    <t>smr</t>
  </si>
  <si>
    <t>San Marino</t>
  </si>
  <si>
    <t>esp</t>
  </si>
  <si>
    <t>Spain</t>
  </si>
  <si>
    <t>isl</t>
  </si>
  <si>
    <t>Iceland</t>
  </si>
  <si>
    <t>lei</t>
  </si>
  <si>
    <t>Liechtenstein</t>
  </si>
  <si>
    <t>nor</t>
  </si>
  <si>
    <t>Norway</t>
  </si>
  <si>
    <t>pa2</t>
  </si>
  <si>
    <t>Pakistan E/W</t>
  </si>
  <si>
    <t>sjm</t>
  </si>
  <si>
    <t>Svalbard and Jan Mayen Islands</t>
  </si>
  <si>
    <t>che</t>
  </si>
  <si>
    <t>Switzerland</t>
  </si>
  <si>
    <t>bgr</t>
  </si>
  <si>
    <t>Bulgaria</t>
  </si>
  <si>
    <t>cze</t>
  </si>
  <si>
    <t>Czech Republic</t>
  </si>
  <si>
    <t>hun</t>
  </si>
  <si>
    <t>Hungary</t>
  </si>
  <si>
    <t>pol</t>
  </si>
  <si>
    <t>Poland</t>
  </si>
  <si>
    <t>rom</t>
  </si>
  <si>
    <t>Romania</t>
  </si>
  <si>
    <t>svk</t>
  </si>
  <si>
    <t>Slovakia</t>
  </si>
  <si>
    <t>svn</t>
  </si>
  <si>
    <t>Slovenia</t>
  </si>
  <si>
    <t>arm</t>
  </si>
  <si>
    <t>Armenia</t>
  </si>
  <si>
    <t>Former Soviet Union</t>
  </si>
  <si>
    <t>aze</t>
  </si>
  <si>
    <t>Azerbaijan</t>
  </si>
  <si>
    <t>blr</t>
  </si>
  <si>
    <t>Belarus</t>
  </si>
  <si>
    <t>est</t>
  </si>
  <si>
    <t>Estonia</t>
  </si>
  <si>
    <t>geo</t>
  </si>
  <si>
    <t>Georgia</t>
  </si>
  <si>
    <t>kaz</t>
  </si>
  <si>
    <t>Kazakhstan</t>
  </si>
  <si>
    <t>kgz</t>
  </si>
  <si>
    <t>Kyrgyz Republic</t>
  </si>
  <si>
    <t>lva</t>
  </si>
  <si>
    <t>Latvia</t>
  </si>
  <si>
    <t>ltu</t>
  </si>
  <si>
    <t>Lithuania</t>
  </si>
  <si>
    <t>mda</t>
  </si>
  <si>
    <t>Moldova</t>
  </si>
  <si>
    <t>rus</t>
  </si>
  <si>
    <t>Russian Federation</t>
  </si>
  <si>
    <t>tjk</t>
  </si>
  <si>
    <t>Tajikistan</t>
  </si>
  <si>
    <t>tkm</t>
  </si>
  <si>
    <t>Turkmenistan</t>
  </si>
  <si>
    <t>ukr</t>
  </si>
  <si>
    <t>Ukraine</t>
  </si>
  <si>
    <t>uzb</t>
  </si>
  <si>
    <t>Uzbekistan</t>
  </si>
  <si>
    <t>Turkey</t>
  </si>
  <si>
    <t>bhr</t>
  </si>
  <si>
    <t>Bahrain</t>
  </si>
  <si>
    <t>Rest of the Middle East</t>
  </si>
  <si>
    <t>irn</t>
  </si>
  <si>
    <t>Iran</t>
  </si>
  <si>
    <t>irq</t>
  </si>
  <si>
    <t>Iraq</t>
  </si>
  <si>
    <t>isr</t>
  </si>
  <si>
    <t>Israel</t>
  </si>
  <si>
    <t>jor</t>
  </si>
  <si>
    <t>Jordan</t>
  </si>
  <si>
    <t>kwt</t>
  </si>
  <si>
    <t>Kuwait</t>
  </si>
  <si>
    <t>lbn</t>
  </si>
  <si>
    <t>Lebanon</t>
  </si>
  <si>
    <t>omn</t>
  </si>
  <si>
    <t>Oman</t>
  </si>
  <si>
    <t>qat</t>
  </si>
  <si>
    <t>Qatar</t>
  </si>
  <si>
    <t>sau</t>
  </si>
  <si>
    <t>Saudi Arabia</t>
  </si>
  <si>
    <t>syr</t>
  </si>
  <si>
    <t>Syrian Arab Republic</t>
  </si>
  <si>
    <t>are</t>
  </si>
  <si>
    <t>United Arab Emirates</t>
  </si>
  <si>
    <t>yem</t>
  </si>
  <si>
    <t>Yemen</t>
  </si>
  <si>
    <t>ydr</t>
  </si>
  <si>
    <t>Yemen Democratic</t>
  </si>
  <si>
    <t>Morocco</t>
  </si>
  <si>
    <t>esh</t>
  </si>
  <si>
    <t>Western Sahara</t>
  </si>
  <si>
    <t>dza</t>
  </si>
  <si>
    <t>Algeria</t>
  </si>
  <si>
    <t>Rest of North Africa</t>
  </si>
  <si>
    <t>egy</t>
  </si>
  <si>
    <t>Egypt</t>
  </si>
  <si>
    <t>lby</t>
  </si>
  <si>
    <t>Libya</t>
  </si>
  <si>
    <t>tun</t>
  </si>
  <si>
    <t>Tunisia</t>
  </si>
  <si>
    <t>bwa</t>
  </si>
  <si>
    <t>Botswana</t>
  </si>
  <si>
    <t>lso</t>
  </si>
  <si>
    <t>Lesotho</t>
  </si>
  <si>
    <t>nam</t>
  </si>
  <si>
    <t>Namibia</t>
  </si>
  <si>
    <t>zaf</t>
  </si>
  <si>
    <t>South Africa</t>
  </si>
  <si>
    <t>swz</t>
  </si>
  <si>
    <t>Swaziland</t>
  </si>
  <si>
    <t>ago</t>
  </si>
  <si>
    <t>Angola</t>
  </si>
  <si>
    <t>Rest of Southern Africa</t>
  </si>
  <si>
    <t>mwi</t>
  </si>
  <si>
    <t>Malawi</t>
  </si>
  <si>
    <t>mus</t>
  </si>
  <si>
    <t>Mauritius</t>
  </si>
  <si>
    <t>moz</t>
  </si>
  <si>
    <t>Mozambique</t>
  </si>
  <si>
    <t>tza</t>
  </si>
  <si>
    <t>Tanzania</t>
  </si>
  <si>
    <t>zmb</t>
  </si>
  <si>
    <t>Zambia</t>
  </si>
  <si>
    <t>zwe</t>
  </si>
  <si>
    <t>Zimbabwe</t>
  </si>
  <si>
    <t>ben</t>
  </si>
  <si>
    <t>Benin</t>
  </si>
  <si>
    <t>Rest of Sub Saharan Africa</t>
  </si>
  <si>
    <t>bfa</t>
  </si>
  <si>
    <t>Burkina Faso</t>
  </si>
  <si>
    <t>bdi</t>
  </si>
  <si>
    <t>Burundi</t>
  </si>
  <si>
    <t>cmr</t>
  </si>
  <si>
    <t>Cameroon</t>
  </si>
  <si>
    <t>cpv</t>
  </si>
  <si>
    <t>Cape Verde</t>
  </si>
  <si>
    <t>caf</t>
  </si>
  <si>
    <t>Central African Republic</t>
  </si>
  <si>
    <t>tcd</t>
  </si>
  <si>
    <t>Chad</t>
  </si>
  <si>
    <t>com</t>
  </si>
  <si>
    <t>Comoros</t>
  </si>
  <si>
    <t>cog</t>
  </si>
  <si>
    <t>Congo</t>
  </si>
  <si>
    <t>zar</t>
  </si>
  <si>
    <t>Democratic Republic of the Congo</t>
  </si>
  <si>
    <t>civ</t>
  </si>
  <si>
    <t>Côte d'Ivoire</t>
  </si>
  <si>
    <t>dji</t>
  </si>
  <si>
    <t>Djibouti</t>
  </si>
  <si>
    <t>gnq</t>
  </si>
  <si>
    <t>Equatorial Guinea</t>
  </si>
  <si>
    <t>eri</t>
  </si>
  <si>
    <t>Eritrea</t>
  </si>
  <si>
    <t>eth</t>
  </si>
  <si>
    <t>Ethiopia</t>
  </si>
  <si>
    <t>gab</t>
  </si>
  <si>
    <t>Gabon</t>
  </si>
  <si>
    <t>gmb</t>
  </si>
  <si>
    <t>Gambia</t>
  </si>
  <si>
    <t>gha</t>
  </si>
  <si>
    <t>Ghana</t>
  </si>
  <si>
    <t>gin</t>
  </si>
  <si>
    <t>Guinea</t>
  </si>
  <si>
    <t>gnb</t>
  </si>
  <si>
    <t>Guinea-Bissau</t>
  </si>
  <si>
    <t>ken</t>
  </si>
  <si>
    <t>Kenya</t>
  </si>
  <si>
    <t>lbr</t>
  </si>
  <si>
    <t>Liberia</t>
  </si>
  <si>
    <t>mdg</t>
  </si>
  <si>
    <t>Madagascar</t>
  </si>
  <si>
    <t>mli</t>
  </si>
  <si>
    <t>Mali</t>
  </si>
  <si>
    <t>mrt</t>
  </si>
  <si>
    <t>Mauritania</t>
  </si>
  <si>
    <t>myt</t>
  </si>
  <si>
    <t>Mayotte</t>
  </si>
  <si>
    <t>ner</t>
  </si>
  <si>
    <t>Niger</t>
  </si>
  <si>
    <t>nga</t>
  </si>
  <si>
    <t>Nigeria</t>
  </si>
  <si>
    <t>rwa</t>
  </si>
  <si>
    <t>Rwanda</t>
  </si>
  <si>
    <t>stp</t>
  </si>
  <si>
    <t>Sao Tome &amp; Principe</t>
  </si>
  <si>
    <t>sen</t>
  </si>
  <si>
    <t>Senegal</t>
  </si>
  <si>
    <t>syc</t>
  </si>
  <si>
    <t>Seychelles Islands</t>
  </si>
  <si>
    <t>sle</t>
  </si>
  <si>
    <t>Sierra Leone</t>
  </si>
  <si>
    <t>som</t>
  </si>
  <si>
    <t>Somalia</t>
  </si>
  <si>
    <t>sdn</t>
  </si>
  <si>
    <t>Sudan</t>
  </si>
  <si>
    <t>tgo</t>
  </si>
  <si>
    <t>Togo</t>
  </si>
  <si>
    <t>uga</t>
  </si>
  <si>
    <t>Uganda</t>
  </si>
  <si>
    <t>ado</t>
  </si>
  <si>
    <t>Andorra</t>
  </si>
  <si>
    <t>Rest of the World</t>
  </si>
  <si>
    <t>bmu</t>
  </si>
  <si>
    <t>Bermuda</t>
  </si>
  <si>
    <t>bih</t>
  </si>
  <si>
    <t>Bosnia and Herzegovina</t>
  </si>
  <si>
    <t>iot</t>
  </si>
  <si>
    <t>British Indian Ocean Territories</t>
  </si>
  <si>
    <t>brn</t>
  </si>
  <si>
    <t>Brunei</t>
  </si>
  <si>
    <t>khm</t>
  </si>
  <si>
    <t>Cambodia</t>
  </si>
  <si>
    <t>cxr</t>
  </si>
  <si>
    <t>Christmas Island</t>
  </si>
  <si>
    <t>cck</t>
  </si>
  <si>
    <t>Cocos (Keeling) Island</t>
  </si>
  <si>
    <t>cok</t>
  </si>
  <si>
    <t>Cook Islands</t>
  </si>
  <si>
    <t>hrv</t>
  </si>
  <si>
    <t>Croatia</t>
  </si>
  <si>
    <t>cyp</t>
  </si>
  <si>
    <t>Cyprus</t>
  </si>
  <si>
    <t>flk</t>
  </si>
  <si>
    <t>Falkland Islands</t>
  </si>
  <si>
    <t>fro</t>
  </si>
  <si>
    <t>Faroe Islands</t>
  </si>
  <si>
    <t>fji</t>
  </si>
  <si>
    <t>Fiji</t>
  </si>
  <si>
    <t>pyf</t>
  </si>
  <si>
    <t>French Polynesia</t>
  </si>
  <si>
    <t>grl</t>
  </si>
  <si>
    <t>Greenland</t>
  </si>
  <si>
    <t>jtn</t>
  </si>
  <si>
    <t>Johnston Island</t>
  </si>
  <si>
    <t>kir</t>
  </si>
  <si>
    <t>Kiribati</t>
  </si>
  <si>
    <t>lao</t>
  </si>
  <si>
    <t>Laos</t>
  </si>
  <si>
    <t>mac</t>
  </si>
  <si>
    <t>Macao</t>
  </si>
  <si>
    <t>mkd</t>
  </si>
  <si>
    <t>Macedonia, former Yugoslav Republic of</t>
  </si>
  <si>
    <t>mlt</t>
  </si>
  <si>
    <t>Malta</t>
  </si>
  <si>
    <t>mhl</t>
  </si>
  <si>
    <t>Marshall Islands</t>
  </si>
  <si>
    <t>fsm</t>
  </si>
  <si>
    <t>Federated States of Micronesia</t>
  </si>
  <si>
    <t>mng</t>
  </si>
  <si>
    <t>Mongolia</t>
  </si>
  <si>
    <t>mmr</t>
  </si>
  <si>
    <t>Myanmar</t>
  </si>
  <si>
    <t>nau</t>
  </si>
  <si>
    <t>Nauru</t>
  </si>
  <si>
    <t>ncl</t>
  </si>
  <si>
    <t>New Caledonia</t>
  </si>
  <si>
    <t>niu</t>
  </si>
  <si>
    <t>Niue</t>
  </si>
  <si>
    <t>prk</t>
  </si>
  <si>
    <t>North Korea</t>
  </si>
  <si>
    <t>pce</t>
  </si>
  <si>
    <t>Pacific Islands</t>
  </si>
  <si>
    <t>plw</t>
  </si>
  <si>
    <t>Palua</t>
  </si>
  <si>
    <t>png</t>
  </si>
  <si>
    <t>Papua New Guinea</t>
  </si>
  <si>
    <t>pcn</t>
  </si>
  <si>
    <t>Pitcairn Islands</t>
  </si>
  <si>
    <t>shn</t>
  </si>
  <si>
    <t>Saint Helena</t>
  </si>
  <si>
    <t>slb</t>
  </si>
  <si>
    <t>Solomon Islands</t>
  </si>
  <si>
    <t>tkl</t>
  </si>
  <si>
    <t>Tokelau</t>
  </si>
  <si>
    <t>ton</t>
  </si>
  <si>
    <t>Tonga</t>
  </si>
  <si>
    <t>tuv</t>
  </si>
  <si>
    <t>Tuvalu</t>
  </si>
  <si>
    <t>vut</t>
  </si>
  <si>
    <t>Vanuatu</t>
  </si>
  <si>
    <t>wak</t>
  </si>
  <si>
    <t>Wake Island</t>
  </si>
  <si>
    <t>wlf</t>
  </si>
  <si>
    <t>Wallis and Futura Islands</t>
  </si>
  <si>
    <t>wsm</t>
  </si>
  <si>
    <t>Western Samoa</t>
  </si>
  <si>
    <t>yug</t>
  </si>
  <si>
    <t>Yugoslavia (Serbia and Montenegro)</t>
  </si>
  <si>
    <t>Count of Seq</t>
  </si>
  <si>
    <t>Total</t>
  </si>
  <si>
    <t>Region/Country:</t>
  </si>
  <si>
    <t>Residual</t>
  </si>
  <si>
    <t>Cons</t>
  </si>
  <si>
    <t>Gov</t>
  </si>
  <si>
    <t>Inv</t>
  </si>
  <si>
    <t>Exp</t>
  </si>
  <si>
    <t>Imp</t>
  </si>
  <si>
    <t>GDPMP</t>
  </si>
  <si>
    <t>Nominal GDP at Market Price</t>
  </si>
  <si>
    <t>Real GDP at Market Price</t>
  </si>
  <si>
    <t>GDP Price Deflators</t>
  </si>
  <si>
    <t>Government Revenues</t>
  </si>
  <si>
    <t>Indirect taxes</t>
  </si>
  <si>
    <t>Tariff revenue</t>
  </si>
  <si>
    <t>Export revenue</t>
  </si>
  <si>
    <t>Direct tax</t>
  </si>
  <si>
    <t>Production tax</t>
  </si>
  <si>
    <t>Direct tax rate</t>
  </si>
  <si>
    <t>Government Expenditures</t>
  </si>
  <si>
    <t>Goods and Services</t>
  </si>
  <si>
    <t>Transfers</t>
  </si>
  <si>
    <t>Savings</t>
  </si>
  <si>
    <t>Avg. Tariff Rate</t>
  </si>
  <si>
    <t>Avg. export tax rate</t>
  </si>
  <si>
    <t>Shares</t>
  </si>
  <si>
    <t>AGR</t>
  </si>
  <si>
    <t>va_o</t>
  </si>
  <si>
    <t>pva_o</t>
  </si>
  <si>
    <t>kf_o</t>
  </si>
  <si>
    <t>pkf_o</t>
  </si>
  <si>
    <t>pnd_o</t>
  </si>
  <si>
    <t>nd_o</t>
  </si>
  <si>
    <t>va_oeq</t>
  </si>
  <si>
    <t>pva_oeq</t>
  </si>
  <si>
    <t>kf_oeq</t>
  </si>
  <si>
    <t>pkf_oeq</t>
  </si>
  <si>
    <t>pnd_oeq</t>
  </si>
  <si>
    <t>nd_oeq</t>
  </si>
  <si>
    <t>pf_o</t>
  </si>
  <si>
    <t>fd_o</t>
  </si>
  <si>
    <t>pf_oeq</t>
  </si>
  <si>
    <t>fd_oeq</t>
  </si>
  <si>
    <t>sigmav</t>
  </si>
  <si>
    <t>akf</t>
  </si>
  <si>
    <t>sigmak</t>
  </si>
  <si>
    <t>af</t>
  </si>
  <si>
    <t>lambdaf_o</t>
  </si>
  <si>
    <t>IO Coefficients</t>
  </si>
  <si>
    <t>fs_o</t>
  </si>
  <si>
    <t>fs_oeq</t>
  </si>
  <si>
    <t>Sector specific factor</t>
  </si>
  <si>
    <t>omegaf</t>
  </si>
  <si>
    <t>afs</t>
  </si>
  <si>
    <t>Utility</t>
  </si>
  <si>
    <t>Exp(p0,u)</t>
  </si>
  <si>
    <t>Exp(p1,u)</t>
  </si>
  <si>
    <t>xp_a</t>
  </si>
  <si>
    <t>xp_aeq</t>
  </si>
  <si>
    <t>ld_aeq</t>
  </si>
  <si>
    <t>ld_a</t>
  </si>
  <si>
    <t>kd_aeq</t>
  </si>
  <si>
    <t>kd_a</t>
  </si>
  <si>
    <t>fd_aeq</t>
  </si>
  <si>
    <t>fd_a</t>
  </si>
  <si>
    <t>xap_aa</t>
  </si>
  <si>
    <t>xap_aaeq</t>
  </si>
  <si>
    <t>xap_ao</t>
  </si>
  <si>
    <t>xap_aoeq</t>
  </si>
  <si>
    <t>xap_oa</t>
  </si>
  <si>
    <t>xap_oaeq</t>
  </si>
  <si>
    <t>rent_a</t>
  </si>
  <si>
    <t>rent_aeq</t>
  </si>
  <si>
    <t>pf_a</t>
  </si>
  <si>
    <t>pf_aeq</t>
  </si>
  <si>
    <t>pa_a</t>
  </si>
  <si>
    <t>pa_aeq</t>
  </si>
  <si>
    <t>pp_a</t>
  </si>
  <si>
    <t>pp_aeq</t>
  </si>
  <si>
    <t>px_aeq</t>
  </si>
  <si>
    <t>px_a</t>
  </si>
  <si>
    <t>va_a</t>
  </si>
  <si>
    <t>va_aeq</t>
  </si>
  <si>
    <t>pva_a</t>
  </si>
  <si>
    <t>pva_aeq</t>
  </si>
  <si>
    <t>kf_a</t>
  </si>
  <si>
    <t>kf_aeq</t>
  </si>
  <si>
    <t>pkf_a</t>
  </si>
  <si>
    <t>pkf_aeq</t>
  </si>
  <si>
    <t>pnd_a</t>
  </si>
  <si>
    <t>pnd_aeq</t>
  </si>
  <si>
    <t>nd_a</t>
  </si>
  <si>
    <t>nd_aeq</t>
  </si>
  <si>
    <t>xac_a</t>
  </si>
  <si>
    <t>xac_aeq</t>
  </si>
  <si>
    <t>xag_a</t>
  </si>
  <si>
    <t>xag_aeq</t>
  </si>
  <si>
    <t>xai_a</t>
  </si>
  <si>
    <t>xai_aeq</t>
  </si>
  <si>
    <t>pd_a</t>
  </si>
  <si>
    <t>pd_aeq</t>
  </si>
  <si>
    <t>pm_a</t>
  </si>
  <si>
    <t>pm_aeq</t>
  </si>
  <si>
    <t>wpm_a</t>
  </si>
  <si>
    <t>xa_aeq</t>
  </si>
  <si>
    <t>xa_a</t>
  </si>
  <si>
    <t>xdd_a</t>
  </si>
  <si>
    <t>xdd_aeq</t>
  </si>
  <si>
    <t>xm_a</t>
  </si>
  <si>
    <t>xm_aeq</t>
  </si>
  <si>
    <t>xds_a</t>
  </si>
  <si>
    <t>xds_aeq</t>
  </si>
  <si>
    <t>es_a</t>
  </si>
  <si>
    <t>es_aeq</t>
  </si>
  <si>
    <t>pe_a</t>
  </si>
  <si>
    <t>wpe_a</t>
  </si>
  <si>
    <t>wpe_aeq</t>
  </si>
  <si>
    <t>pe_aeq</t>
  </si>
  <si>
    <t>ed_a</t>
  </si>
  <si>
    <t>ed_aeq</t>
  </si>
  <si>
    <t>ks_aeq</t>
  </si>
  <si>
    <t>ks_a</t>
  </si>
  <si>
    <t>fs_a</t>
  </si>
  <si>
    <t>fs_aeq</t>
  </si>
  <si>
    <t>itp_aa</t>
  </si>
  <si>
    <t>itp_ao</t>
  </si>
  <si>
    <t>itp_oa</t>
  </si>
  <si>
    <t>tp_a</t>
  </si>
  <si>
    <t>lambdal_a</t>
  </si>
  <si>
    <t>lambdak_a</t>
  </si>
  <si>
    <t>lambdaf_a</t>
  </si>
  <si>
    <t>itc_a</t>
  </si>
  <si>
    <t>itg_a</t>
  </si>
  <si>
    <t>iti_a</t>
  </si>
  <si>
    <t>wpebar_a</t>
  </si>
  <si>
    <t>tm_a</t>
  </si>
  <si>
    <t>te_a</t>
  </si>
  <si>
    <t>yh_aq</t>
  </si>
  <si>
    <t>emiTax</t>
  </si>
  <si>
    <t>xsa</t>
  </si>
  <si>
    <t>xcm</t>
  </si>
  <si>
    <t>xap</t>
  </si>
  <si>
    <t>xsm</t>
  </si>
  <si>
    <t>xbl</t>
  </si>
  <si>
    <t>xef</t>
  </si>
  <si>
    <t>xce</t>
  </si>
  <si>
    <t>xsu</t>
  </si>
  <si>
    <t>xme</t>
  </si>
  <si>
    <t>xnf</t>
  </si>
  <si>
    <t>xsc</t>
  </si>
  <si>
    <t>xsf</t>
  </si>
  <si>
    <t>xss</t>
  </si>
  <si>
    <t>xrw</t>
  </si>
  <si>
    <t>Belgium/Luxembourg</t>
  </si>
  <si>
    <t>Rest of EFTA</t>
  </si>
  <si>
    <t>Rest of Central Eastern European Associates</t>
  </si>
  <si>
    <t>Rest of South African Customs Union</t>
  </si>
  <si>
    <t>POP</t>
  </si>
  <si>
    <t>PPP</t>
  </si>
  <si>
    <t>REGION</t>
  </si>
  <si>
    <t>Population (m)</t>
  </si>
  <si>
    <t>GDP p.c.</t>
  </si>
  <si>
    <t>GDP/PPP p.c.</t>
  </si>
  <si>
    <t>(All)</t>
  </si>
  <si>
    <t>The World</t>
  </si>
  <si>
    <t>Click on the ReadDoc button for documentation on this Excel workbook. This action will open the documentation for this Excel-based CGE model in MS Word. When finished reading, choose the Close &amp; Return... option under the File menu in Word, and you will be returned to this worksheet.</t>
  </si>
  <si>
    <t>pdr</t>
  </si>
  <si>
    <t>wht</t>
  </si>
  <si>
    <t>gro</t>
  </si>
  <si>
    <t>v_f</t>
  </si>
  <si>
    <t>osd</t>
  </si>
  <si>
    <t>c_b</t>
  </si>
  <si>
    <t>pfb</t>
  </si>
  <si>
    <t>ocr</t>
  </si>
  <si>
    <t>ctl</t>
  </si>
  <si>
    <t>oap</t>
  </si>
  <si>
    <t>rmk</t>
  </si>
  <si>
    <t>wol</t>
  </si>
  <si>
    <t>frs</t>
  </si>
  <si>
    <t>fsh</t>
  </si>
  <si>
    <t>oil</t>
  </si>
  <si>
    <t>gas</t>
  </si>
  <si>
    <t>cmt</t>
  </si>
  <si>
    <t>omt</t>
  </si>
  <si>
    <t>vol</t>
  </si>
  <si>
    <t>mil</t>
  </si>
  <si>
    <t>pcr</t>
  </si>
  <si>
    <t>sgr</t>
  </si>
  <si>
    <t>ofd</t>
  </si>
  <si>
    <t>b_t</t>
  </si>
  <si>
    <t>tex</t>
  </si>
  <si>
    <t>wap</t>
  </si>
  <si>
    <t>lea</t>
  </si>
  <si>
    <t>lum</t>
  </si>
  <si>
    <t>ppp</t>
  </si>
  <si>
    <t>p_c</t>
  </si>
  <si>
    <t>crp</t>
  </si>
  <si>
    <t>nmm</t>
  </si>
  <si>
    <t>i_s</t>
  </si>
  <si>
    <t>nfm</t>
  </si>
  <si>
    <t>fmp</t>
  </si>
  <si>
    <t>mvh</t>
  </si>
  <si>
    <t>otn</t>
  </si>
  <si>
    <t>ele</t>
  </si>
  <si>
    <t>ome</t>
  </si>
  <si>
    <t>omf</t>
  </si>
  <si>
    <t>ely</t>
  </si>
  <si>
    <t>gdt</t>
  </si>
  <si>
    <t>wtr</t>
  </si>
  <si>
    <t>cns</t>
  </si>
  <si>
    <t>trd</t>
  </si>
  <si>
    <t>otp</t>
  </si>
  <si>
    <t>wtp</t>
  </si>
  <si>
    <t>atp</t>
  </si>
  <si>
    <t>cmn</t>
  </si>
  <si>
    <t>ofi</t>
  </si>
  <si>
    <t>obs</t>
  </si>
  <si>
    <t>ros</t>
  </si>
  <si>
    <t>osg</t>
  </si>
  <si>
    <t>dwe</t>
  </si>
  <si>
    <t>Unskl</t>
  </si>
  <si>
    <t>Skill</t>
  </si>
  <si>
    <t>Captl</t>
  </si>
  <si>
    <t>LandR</t>
  </si>
  <si>
    <t>hhsld</t>
  </si>
  <si>
    <t>govnt</t>
  </si>
  <si>
    <t>invst</t>
  </si>
  <si>
    <t>trdmg</t>
  </si>
  <si>
    <t>indtx</t>
  </si>
  <si>
    <t>prdtx</t>
  </si>
  <si>
    <t>imptx</t>
  </si>
  <si>
    <t>exptx</t>
  </si>
  <si>
    <t>dirtx</t>
  </si>
  <si>
    <t>bop</t>
  </si>
  <si>
    <t>agr</t>
  </si>
  <si>
    <t>oth</t>
  </si>
  <si>
    <t>Wheat</t>
  </si>
  <si>
    <t>Cereal grains, n.e.s.</t>
  </si>
  <si>
    <t>Vegetables and fruits</t>
  </si>
  <si>
    <t>Oil seeds</t>
  </si>
  <si>
    <t>Sugar cane and sugar beet</t>
  </si>
  <si>
    <t>Plant-based fibers</t>
  </si>
  <si>
    <t>Crops, n.e.s.</t>
  </si>
  <si>
    <t>Bovine cattle, sheep and goats, horses</t>
  </si>
  <si>
    <t>Animal products n.e.s.</t>
  </si>
  <si>
    <t>Raw milk</t>
  </si>
  <si>
    <t>Wool, silk-worm cocoons</t>
  </si>
  <si>
    <t>Forestry</t>
  </si>
  <si>
    <t>Fishing</t>
  </si>
  <si>
    <t>Coal</t>
  </si>
  <si>
    <t>Oil</t>
  </si>
  <si>
    <t>Gas</t>
  </si>
  <si>
    <t>Minerals n.e.s.</t>
  </si>
  <si>
    <t>Bovine cattle, sheep and goat, horse meat products</t>
  </si>
  <si>
    <t>Meat products n.e.s.</t>
  </si>
  <si>
    <t>Vegetable oils and fats</t>
  </si>
  <si>
    <t>Dairy products</t>
  </si>
  <si>
    <t>Processed rice</t>
  </si>
  <si>
    <t>Sugar</t>
  </si>
  <si>
    <t>Food products n.e.s.</t>
  </si>
  <si>
    <t>Beverages and tobacco products</t>
  </si>
  <si>
    <t>Textiles</t>
  </si>
  <si>
    <t>Wearing apparel</t>
  </si>
  <si>
    <t>Leather products</t>
  </si>
  <si>
    <t>Wood products</t>
  </si>
  <si>
    <t>Paper products, publishing</t>
  </si>
  <si>
    <t>Petroleum, coal products</t>
  </si>
  <si>
    <t>Chemical, rubber, plastic products</t>
  </si>
  <si>
    <t>Mineral products n.e.s.</t>
  </si>
  <si>
    <t>Ferrous metals</t>
  </si>
  <si>
    <t>Metals n.e.s.</t>
  </si>
  <si>
    <t>Metal products</t>
  </si>
  <si>
    <t>Motor vehicles and parts</t>
  </si>
  <si>
    <t>Transport equipment n.e.s.</t>
  </si>
  <si>
    <t>Electronic equipment</t>
  </si>
  <si>
    <t>Machinery and equipment n.e.s.</t>
  </si>
  <si>
    <t>Manufactures n.e.s.</t>
  </si>
  <si>
    <t>Electricity</t>
  </si>
  <si>
    <t>Gas manufacture, distribution</t>
  </si>
  <si>
    <t>Water</t>
  </si>
  <si>
    <t>Construction</t>
  </si>
  <si>
    <t>Trade</t>
  </si>
  <si>
    <t>Transport n.e.s.</t>
  </si>
  <si>
    <t>Sea transport</t>
  </si>
  <si>
    <t>Air transport</t>
  </si>
  <si>
    <t>Communication</t>
  </si>
  <si>
    <t>Financial services n.e.s.</t>
  </si>
  <si>
    <t>Insurance</t>
  </si>
  <si>
    <t>Business services n.e.s.</t>
  </si>
  <si>
    <t>Recreation and other services</t>
  </si>
  <si>
    <t>Public administration and defense, education, health services</t>
  </si>
  <si>
    <t>Dwellings</t>
  </si>
  <si>
    <t>Paddy rice</t>
  </si>
  <si>
    <t>Percent Change</t>
  </si>
  <si>
    <t>Variable Dictionary</t>
  </si>
  <si>
    <t>Output</t>
  </si>
  <si>
    <t>Agriculture</t>
  </si>
  <si>
    <t>Other</t>
  </si>
  <si>
    <t xml:space="preserve">Labor  </t>
  </si>
  <si>
    <t>Demand</t>
  </si>
  <si>
    <t>Final</t>
  </si>
  <si>
    <t>Intermediate</t>
  </si>
  <si>
    <t>Average</t>
  </si>
  <si>
    <t>Wage</t>
  </si>
  <si>
    <t>Rental</t>
  </si>
  <si>
    <t>Armington</t>
  </si>
  <si>
    <t>Price</t>
  </si>
  <si>
    <t>Producer</t>
  </si>
  <si>
    <t>Added</t>
  </si>
  <si>
    <t>Land</t>
  </si>
  <si>
    <t>Combined</t>
  </si>
  <si>
    <t>Household Income</t>
  </si>
  <si>
    <t xml:space="preserve">Household </t>
  </si>
  <si>
    <t>Disposable</t>
  </si>
  <si>
    <t>Income</t>
  </si>
  <si>
    <t>Household</t>
  </si>
  <si>
    <t>Consumption</t>
  </si>
  <si>
    <t>Depreciation</t>
  </si>
  <si>
    <t>Innvestment</t>
  </si>
  <si>
    <t>Import</t>
  </si>
  <si>
    <t>Supply</t>
  </si>
  <si>
    <t>GDP</t>
  </si>
  <si>
    <t>Index</t>
  </si>
  <si>
    <t>Real</t>
  </si>
  <si>
    <t>Factor</t>
  </si>
  <si>
    <t>Cost</t>
  </si>
  <si>
    <t>World</t>
  </si>
  <si>
    <t>Export</t>
  </si>
  <si>
    <t>Tax</t>
  </si>
  <si>
    <t>Revenue</t>
  </si>
  <si>
    <t>Savgin</t>
  </si>
  <si>
    <t>Stock</t>
  </si>
  <si>
    <t>Rate</t>
  </si>
  <si>
    <t>Consistency</t>
  </si>
  <si>
    <t>Balance</t>
  </si>
  <si>
    <t>Allowance</t>
  </si>
  <si>
    <t>Budget</t>
  </si>
  <si>
    <t>Expenditure</t>
  </si>
  <si>
    <t>Discretionary</t>
  </si>
  <si>
    <t>(</t>
  </si>
  <si>
    <t>,</t>
  </si>
  <si>
    <t>)</t>
  </si>
  <si>
    <t>ROW</t>
  </si>
  <si>
    <t>depry</t>
  </si>
  <si>
    <t>natrs</t>
  </si>
  <si>
    <t>unskl</t>
  </si>
  <si>
    <t>(Source: GTAP 6, 2001 SAM, Current USD Billions)</t>
  </si>
  <si>
    <t>Unskilled labor</t>
  </si>
  <si>
    <t>Skilled labor</t>
  </si>
  <si>
    <t>Capital remuneration</t>
  </si>
  <si>
    <t>Land remuneration</t>
  </si>
  <si>
    <t>Trade margins</t>
  </si>
  <si>
    <t>Indirect tax</t>
  </si>
  <si>
    <t>Import tax</t>
  </si>
  <si>
    <t>Export tax</t>
  </si>
  <si>
    <t>Taxes on factors of production</t>
  </si>
  <si>
    <t>Direct taxation</t>
  </si>
  <si>
    <t>Depreciatoin</t>
  </si>
  <si>
    <t>Natural resrouces</t>
  </si>
  <si>
    <t>Balance of Payments Account</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</si>
</sst>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3" formatCode="_(* #,##0.00_);_(* \(#,##0.00\);_(* &quot;-&quot;??_);_(@_)"/>
    <numFmt numFmtId="176" formatCode="0.0"/>
    <numFmt numFmtId="177" formatCode="#,##0.0"/>
    <numFmt numFmtId="178" formatCode="0.0%"/>
    <numFmt numFmtId="180" formatCode="0.0000"/>
    <numFmt numFmtId="181" formatCode="0.000"/>
    <numFmt numFmtId="182" formatCode="#,##0.000"/>
    <numFmt numFmtId="189" formatCode="&quot;Scale=&quot;0.\e\+00"/>
    <numFmt numFmtId="192" formatCode="0.000000000"/>
    <numFmt numFmtId="193" formatCode="0.0000000000"/>
    <numFmt numFmtId="195" formatCode="#,##0.000000"/>
    <numFmt numFmtId="198" formatCode="#,###&quot;m&quot;"/>
    <numFmt numFmtId="200" formatCode="_(* #,##0_);_(* \(#,##0\);_(* &quot;-&quot;??_);_(@_)"/>
    <numFmt numFmtId="206" formatCode="#,##0_);[Red]\-#,##0_)"/>
  </numFmts>
  <fonts count="22" x14ac:knownFonts="1">
    <font>
      <sz val="10"/>
      <name val="Arial"/>
      <family val="2"/>
    </font>
    <font>
      <sz val="10"/>
      <name val="Arial"/>
      <family val="2"/>
    </font>
    <font>
      <i/>
      <sz val="10"/>
      <name val="Arial"/>
      <family val="2"/>
    </font>
    <font>
      <sz val="10"/>
      <name val="Arial"/>
      <family val="2"/>
    </font>
    <font>
      <sz val="8"/>
      <color indexed="81"/>
      <name val="Tahoma"/>
      <family val="2"/>
    </font>
    <font>
      <b/>
      <sz val="8"/>
      <color indexed="81"/>
      <name val="Tahoma"/>
      <family val="2"/>
    </font>
    <font>
      <b/>
      <sz val="10"/>
      <name val="Arial"/>
      <family val="2"/>
    </font>
    <font>
      <b/>
      <i/>
      <sz val="12"/>
      <name val="Arial"/>
      <family val="2"/>
    </font>
    <font>
      <i/>
      <u/>
      <sz val="10"/>
      <name val="Arial"/>
      <family val="2"/>
    </font>
    <font>
      <b/>
      <sz val="10"/>
      <color indexed="9"/>
      <name val="Arial"/>
      <family val="2"/>
    </font>
    <font>
      <b/>
      <i/>
      <u/>
      <sz val="12"/>
      <name val="Arial"/>
      <family val="2"/>
    </font>
    <font>
      <sz val="7"/>
      <color indexed="81"/>
      <name val="Tahoma"/>
      <family val="2"/>
    </font>
    <font>
      <b/>
      <sz val="8"/>
      <color indexed="81"/>
      <name val="Tahoma"/>
      <family val="2"/>
    </font>
    <font>
      <b/>
      <sz val="9"/>
      <color indexed="81"/>
      <name val="Tahoma"/>
      <family val="2"/>
    </font>
    <font>
      <b/>
      <u/>
      <sz val="10"/>
      <name val="Arial"/>
      <family val="2"/>
    </font>
    <font>
      <b/>
      <u/>
      <sz val="14"/>
      <color indexed="12"/>
      <name val="Arial"/>
      <family val="2"/>
    </font>
    <font>
      <b/>
      <u/>
      <sz val="12"/>
      <name val="Arial"/>
      <family val="2"/>
    </font>
    <font>
      <b/>
      <sz val="10"/>
      <color indexed="10"/>
      <name val="Comic Sans MS"/>
      <family val="4"/>
    </font>
    <font>
      <b/>
      <i/>
      <sz val="9"/>
      <color indexed="81"/>
      <name val="Tahoma"/>
      <family val="2"/>
    </font>
    <font>
      <b/>
      <u/>
      <sz val="9"/>
      <color indexed="81"/>
      <name val="Tahoma"/>
      <family val="2"/>
    </font>
    <font>
      <b/>
      <sz val="12"/>
      <color indexed="81"/>
      <name val="Tahoma"/>
      <family val="2"/>
    </font>
    <font>
      <sz val="8"/>
      <name val="Arial"/>
      <family val="2"/>
    </font>
  </fonts>
  <fills count="10">
    <fill>
      <patternFill patternType="none"/>
    </fill>
    <fill>
      <patternFill patternType="gray125"/>
    </fill>
    <fill>
      <patternFill patternType="solid">
        <fgColor indexed="43"/>
        <bgColor indexed="64"/>
      </patternFill>
    </fill>
    <fill>
      <patternFill patternType="solid">
        <fgColor indexed="50"/>
        <bgColor indexed="64"/>
      </patternFill>
    </fill>
    <fill>
      <patternFill patternType="solid">
        <fgColor indexed="41"/>
        <bgColor indexed="64"/>
      </patternFill>
    </fill>
    <fill>
      <patternFill patternType="solid">
        <fgColor indexed="45"/>
        <bgColor indexed="64"/>
      </patternFill>
    </fill>
    <fill>
      <patternFill patternType="solid">
        <fgColor indexed="51"/>
        <bgColor indexed="64"/>
      </patternFill>
    </fill>
    <fill>
      <patternFill patternType="solid">
        <fgColor indexed="42"/>
        <bgColor indexed="64"/>
      </patternFill>
    </fill>
    <fill>
      <patternFill patternType="solid">
        <fgColor indexed="10"/>
        <bgColor indexed="64"/>
      </patternFill>
    </fill>
    <fill>
      <patternFill patternType="solid">
        <fgColor indexed="40"/>
        <bgColor indexed="64"/>
      </patternFill>
    </fill>
  </fills>
  <borders count="18">
    <border>
      <left/>
      <right/>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top style="medium">
        <color auto="1"/>
      </top>
      <bottom/>
      <diagonal/>
    </border>
    <border>
      <left/>
      <right style="medium">
        <color auto="1"/>
      </right>
      <top/>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8"/>
      </left>
      <right/>
      <top style="thin">
        <color indexed="8"/>
      </top>
      <bottom/>
      <diagonal/>
    </border>
    <border>
      <left style="thin">
        <color indexed="8"/>
      </left>
      <right/>
      <top style="thin">
        <color indexed="8"/>
      </top>
      <bottom style="thin">
        <color indexed="8"/>
      </bottom>
      <diagonal/>
    </border>
    <border>
      <left style="thin">
        <color indexed="65"/>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auto="1"/>
      </left>
      <right style="thin">
        <color auto="1"/>
      </right>
      <top/>
      <bottom/>
      <diagonal/>
    </border>
    <border>
      <left/>
      <right/>
      <top/>
      <bottom style="thin">
        <color indexed="8"/>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26">
    <xf numFmtId="0" fontId="0" fillId="0" borderId="0" xfId="0"/>
    <xf numFmtId="11" fontId="0" fillId="0" borderId="0" xfId="0" applyNumberFormat="1"/>
    <xf numFmtId="0" fontId="0" fillId="2" borderId="1" xfId="0" applyFill="1" applyBorder="1"/>
    <xf numFmtId="0" fontId="0" fillId="2" borderId="0" xfId="0" applyFill="1" applyBorder="1"/>
    <xf numFmtId="177" fontId="0" fillId="2" borderId="0" xfId="0" applyNumberFormat="1" applyFill="1" applyBorder="1"/>
    <xf numFmtId="181" fontId="0" fillId="2" borderId="0" xfId="0" applyNumberFormat="1" applyFill="1" applyBorder="1"/>
    <xf numFmtId="182" fontId="0" fillId="2" borderId="0" xfId="0" applyNumberFormat="1" applyFill="1" applyBorder="1"/>
    <xf numFmtId="0" fontId="0" fillId="2" borderId="2" xfId="0" applyFill="1" applyBorder="1"/>
    <xf numFmtId="178" fontId="0" fillId="2" borderId="3" xfId="2" applyNumberFormat="1" applyFont="1" applyFill="1" applyBorder="1"/>
    <xf numFmtId="181" fontId="0" fillId="3" borderId="0" xfId="0" applyNumberFormat="1" applyFill="1" applyBorder="1"/>
    <xf numFmtId="0" fontId="0" fillId="4" borderId="4" xfId="0" applyFill="1" applyBorder="1"/>
    <xf numFmtId="0" fontId="0" fillId="4" borderId="5" xfId="0" applyFill="1" applyBorder="1"/>
    <xf numFmtId="0" fontId="7" fillId="4" borderId="6" xfId="0" applyFont="1" applyFill="1" applyBorder="1"/>
    <xf numFmtId="178" fontId="0" fillId="2" borderId="0" xfId="2" applyNumberFormat="1" applyFont="1" applyFill="1" applyBorder="1"/>
    <xf numFmtId="2" fontId="0" fillId="2" borderId="0" xfId="0" applyNumberFormat="1" applyFill="1" applyBorder="1"/>
    <xf numFmtId="177" fontId="0" fillId="2" borderId="3" xfId="0" applyNumberFormat="1" applyFill="1" applyBorder="1"/>
    <xf numFmtId="0" fontId="0" fillId="2" borderId="7" xfId="0" applyFill="1" applyBorder="1"/>
    <xf numFmtId="0" fontId="0" fillId="2" borderId="8" xfId="0" applyFill="1" applyBorder="1"/>
    <xf numFmtId="2" fontId="0" fillId="5" borderId="0" xfId="0" applyNumberFormat="1" applyFill="1" applyBorder="1"/>
    <xf numFmtId="2" fontId="0" fillId="5" borderId="7" xfId="0" applyNumberFormat="1" applyFill="1" applyBorder="1"/>
    <xf numFmtId="0" fontId="2" fillId="2" borderId="0" xfId="0" applyFont="1" applyFill="1" applyBorder="1" applyAlignment="1">
      <alignment horizontal="right"/>
    </xf>
    <xf numFmtId="0" fontId="2" fillId="2" borderId="7" xfId="0" applyFont="1" applyFill="1" applyBorder="1" applyAlignment="1">
      <alignment horizontal="right"/>
    </xf>
    <xf numFmtId="180" fontId="3" fillId="6" borderId="0" xfId="0" applyNumberFormat="1" applyFont="1" applyFill="1" applyBorder="1"/>
    <xf numFmtId="180" fontId="3" fillId="6" borderId="7" xfId="0" applyNumberFormat="1" applyFont="1" applyFill="1" applyBorder="1"/>
    <xf numFmtId="180" fontId="3" fillId="6" borderId="3" xfId="0" applyNumberFormat="1" applyFont="1" applyFill="1" applyBorder="1"/>
    <xf numFmtId="180" fontId="3" fillId="6" borderId="8" xfId="0" applyNumberFormat="1" applyFont="1" applyFill="1" applyBorder="1"/>
    <xf numFmtId="2" fontId="0" fillId="6" borderId="7" xfId="0" applyNumberFormat="1" applyFill="1" applyBorder="1"/>
    <xf numFmtId="178" fontId="0" fillId="6" borderId="0" xfId="2" applyNumberFormat="1" applyFont="1" applyFill="1" applyBorder="1"/>
    <xf numFmtId="178" fontId="0" fillId="6" borderId="7" xfId="2" applyNumberFormat="1" applyFont="1" applyFill="1" applyBorder="1"/>
    <xf numFmtId="180" fontId="0" fillId="6" borderId="0" xfId="0" applyNumberFormat="1" applyFill="1" applyBorder="1"/>
    <xf numFmtId="180" fontId="0" fillId="6" borderId="7" xfId="0" applyNumberFormat="1" applyFill="1" applyBorder="1"/>
    <xf numFmtId="177" fontId="0" fillId="6" borderId="0" xfId="0" applyNumberFormat="1" applyFill="1" applyBorder="1"/>
    <xf numFmtId="177" fontId="0" fillId="6" borderId="7" xfId="0" applyNumberFormat="1" applyFill="1" applyBorder="1"/>
    <xf numFmtId="176" fontId="0" fillId="5" borderId="1" xfId="0" applyNumberFormat="1" applyFill="1" applyBorder="1"/>
    <xf numFmtId="176" fontId="0" fillId="5" borderId="2" xfId="0" applyNumberFormat="1" applyFill="1" applyBorder="1"/>
    <xf numFmtId="180" fontId="0" fillId="6" borderId="3" xfId="0" applyNumberFormat="1" applyFill="1" applyBorder="1"/>
    <xf numFmtId="176" fontId="0" fillId="5" borderId="0" xfId="0" applyNumberFormat="1" applyFill="1" applyBorder="1"/>
    <xf numFmtId="176" fontId="0" fillId="5" borderId="7" xfId="0" applyNumberFormat="1" applyFill="1" applyBorder="1"/>
    <xf numFmtId="0" fontId="0" fillId="6" borderId="3" xfId="0" applyFill="1" applyBorder="1"/>
    <xf numFmtId="0" fontId="8" fillId="2" borderId="1" xfId="0" applyFont="1" applyFill="1" applyBorder="1"/>
    <xf numFmtId="0" fontId="0" fillId="6" borderId="0" xfId="0" applyFill="1" applyBorder="1"/>
    <xf numFmtId="0" fontId="6" fillId="2" borderId="1" xfId="0" applyFont="1" applyFill="1" applyBorder="1"/>
    <xf numFmtId="176" fontId="0" fillId="2" borderId="1" xfId="0" applyNumberFormat="1" applyFill="1" applyBorder="1"/>
    <xf numFmtId="180" fontId="0" fillId="2" borderId="0" xfId="0" applyNumberFormat="1" applyFill="1" applyBorder="1"/>
    <xf numFmtId="0" fontId="0" fillId="7" borderId="0" xfId="0" applyFill="1"/>
    <xf numFmtId="3" fontId="0" fillId="7" borderId="0" xfId="0" applyNumberFormat="1" applyFill="1"/>
    <xf numFmtId="0" fontId="9" fillId="8" borderId="0" xfId="0" applyFont="1" applyFill="1"/>
    <xf numFmtId="0" fontId="9" fillId="8" borderId="0" xfId="0" applyNumberFormat="1" applyFont="1" applyFill="1"/>
    <xf numFmtId="0" fontId="0" fillId="7" borderId="0" xfId="0" applyNumberFormat="1" applyFill="1"/>
    <xf numFmtId="0" fontId="0" fillId="5" borderId="9" xfId="0" applyFill="1" applyBorder="1"/>
    <xf numFmtId="0" fontId="0" fillId="5" borderId="10" xfId="0" applyFill="1" applyBorder="1" applyAlignment="1">
      <alignment horizontal="right"/>
    </xf>
    <xf numFmtId="189" fontId="0" fillId="7" borderId="0" xfId="0" applyNumberFormat="1" applyFill="1"/>
    <xf numFmtId="177" fontId="0" fillId="6" borderId="8" xfId="0" applyNumberFormat="1" applyFill="1" applyBorder="1"/>
    <xf numFmtId="0" fontId="0" fillId="6" borderId="1" xfId="0" applyFill="1" applyBorder="1"/>
    <xf numFmtId="0" fontId="0" fillId="6" borderId="2" xfId="0" applyFill="1" applyBorder="1"/>
    <xf numFmtId="176" fontId="0" fillId="6" borderId="7" xfId="0" applyNumberFormat="1" applyFill="1" applyBorder="1"/>
    <xf numFmtId="176" fontId="0" fillId="6" borderId="8" xfId="0" applyNumberFormat="1" applyFill="1" applyBorder="1"/>
    <xf numFmtId="0" fontId="10" fillId="4" borderId="6" xfId="0" applyFont="1" applyFill="1" applyBorder="1"/>
    <xf numFmtId="0" fontId="14" fillId="4" borderId="4" xfId="0" applyNumberFormat="1" applyFont="1" applyFill="1" applyBorder="1" applyAlignment="1">
      <alignment horizontal="right"/>
    </xf>
    <xf numFmtId="0" fontId="14" fillId="7" borderId="0" xfId="0" applyFont="1" applyFill="1"/>
    <xf numFmtId="0" fontId="15" fillId="7" borderId="0" xfId="0" applyFont="1" applyFill="1"/>
    <xf numFmtId="0" fontId="16" fillId="7" borderId="0" xfId="0" applyFont="1" applyFill="1"/>
    <xf numFmtId="176" fontId="0" fillId="7" borderId="0" xfId="0" applyNumberFormat="1" applyFill="1"/>
    <xf numFmtId="0" fontId="0" fillId="7" borderId="6" xfId="0" applyFill="1" applyBorder="1"/>
    <xf numFmtId="0" fontId="0" fillId="7" borderId="4" xfId="0" applyFill="1" applyBorder="1"/>
    <xf numFmtId="0" fontId="0" fillId="7" borderId="4" xfId="0" applyNumberFormat="1" applyFill="1" applyBorder="1"/>
    <xf numFmtId="0" fontId="0" fillId="7" borderId="5" xfId="0" applyFill="1" applyBorder="1"/>
    <xf numFmtId="0" fontId="0" fillId="7" borderId="1" xfId="0" applyFill="1" applyBorder="1"/>
    <xf numFmtId="0" fontId="14" fillId="7" borderId="0" xfId="0" applyFont="1" applyFill="1" applyBorder="1"/>
    <xf numFmtId="0" fontId="0" fillId="7" borderId="0" xfId="0" applyNumberFormat="1" applyFill="1" applyBorder="1"/>
    <xf numFmtId="0" fontId="0" fillId="7" borderId="0" xfId="0" applyFill="1" applyBorder="1"/>
    <xf numFmtId="0" fontId="0" fillId="7" borderId="7" xfId="0" applyFill="1" applyBorder="1"/>
    <xf numFmtId="0" fontId="2" fillId="7" borderId="0" xfId="0" applyFont="1" applyFill="1" applyBorder="1"/>
    <xf numFmtId="3" fontId="0" fillId="7" borderId="0" xfId="0" applyNumberFormat="1" applyFill="1" applyBorder="1"/>
    <xf numFmtId="176" fontId="0" fillId="7" borderId="7" xfId="0" applyNumberFormat="1" applyFill="1" applyBorder="1"/>
    <xf numFmtId="177" fontId="0" fillId="7" borderId="0" xfId="0" applyNumberFormat="1" applyFill="1" applyBorder="1"/>
    <xf numFmtId="0" fontId="0" fillId="7" borderId="2" xfId="0" applyFill="1" applyBorder="1"/>
    <xf numFmtId="0" fontId="2" fillId="7" borderId="3" xfId="0" applyFont="1" applyFill="1" applyBorder="1"/>
    <xf numFmtId="177" fontId="0" fillId="7" borderId="3" xfId="0" applyNumberFormat="1" applyFill="1" applyBorder="1"/>
    <xf numFmtId="176" fontId="0" fillId="7" borderId="8" xfId="0" applyNumberFormat="1" applyFill="1" applyBorder="1"/>
    <xf numFmtId="0" fontId="0" fillId="7" borderId="0" xfId="0" applyFill="1" applyAlignment="1">
      <alignment horizontal="right"/>
    </xf>
    <xf numFmtId="0" fontId="0" fillId="0" borderId="0" xfId="0" applyAlignment="1">
      <alignment horizontal="right"/>
    </xf>
    <xf numFmtId="177" fontId="0" fillId="7" borderId="0" xfId="0" applyNumberFormat="1" applyFill="1"/>
    <xf numFmtId="4" fontId="0" fillId="7" borderId="0" xfId="0" applyNumberFormat="1" applyFill="1"/>
    <xf numFmtId="2" fontId="0" fillId="6" borderId="3" xfId="0" applyNumberFormat="1" applyFill="1" applyBorder="1"/>
    <xf numFmtId="2" fontId="0" fillId="6" borderId="8" xfId="0" applyNumberFormat="1" applyFill="1" applyBorder="1"/>
    <xf numFmtId="2" fontId="0" fillId="6" borderId="0" xfId="0" applyNumberFormat="1" applyFill="1" applyBorder="1"/>
    <xf numFmtId="192" fontId="0" fillId="7" borderId="0" xfId="0" applyNumberFormat="1" applyFill="1"/>
    <xf numFmtId="193" fontId="0" fillId="7" borderId="0" xfId="0" applyNumberFormat="1" applyFill="1"/>
    <xf numFmtId="4" fontId="0" fillId="7" borderId="0" xfId="0" applyNumberFormat="1" applyFill="1" applyBorder="1"/>
    <xf numFmtId="0" fontId="3" fillId="0" borderId="11" xfId="0" applyFont="1" applyBorder="1"/>
    <xf numFmtId="0" fontId="3" fillId="0" borderId="12" xfId="0" applyFont="1" applyBorder="1"/>
    <xf numFmtId="0" fontId="3" fillId="0" borderId="0" xfId="0" applyFont="1"/>
    <xf numFmtId="0" fontId="3" fillId="0" borderId="11" xfId="0" pivotButton="1" applyFont="1" applyBorder="1"/>
    <xf numFmtId="0" fontId="3" fillId="0" borderId="13" xfId="0" applyFont="1" applyBorder="1"/>
    <xf numFmtId="0" fontId="3" fillId="0" borderId="14" xfId="0" applyFont="1" applyBorder="1"/>
    <xf numFmtId="0" fontId="3" fillId="0" borderId="14" xfId="0" applyNumberFormat="1" applyFont="1" applyBorder="1"/>
    <xf numFmtId="0" fontId="3" fillId="0" borderId="15" xfId="0" applyNumberFormat="1" applyFont="1" applyBorder="1"/>
    <xf numFmtId="177" fontId="0" fillId="2" borderId="0" xfId="0" applyNumberFormat="1" applyFill="1"/>
    <xf numFmtId="0" fontId="0" fillId="2" borderId="0" xfId="0" applyFill="1"/>
    <xf numFmtId="195" fontId="0" fillId="7" borderId="0" xfId="0" applyNumberFormat="1" applyFill="1"/>
    <xf numFmtId="0" fontId="0" fillId="5" borderId="0" xfId="0" applyFill="1"/>
    <xf numFmtId="0" fontId="0" fillId="5" borderId="0" xfId="0" applyFill="1" applyAlignment="1">
      <alignment horizontal="right"/>
    </xf>
    <xf numFmtId="198" fontId="0" fillId="7" borderId="0" xfId="0" applyNumberFormat="1" applyFill="1"/>
    <xf numFmtId="0" fontId="0" fillId="7" borderId="8" xfId="0" applyFill="1" applyBorder="1"/>
    <xf numFmtId="0" fontId="6" fillId="0" borderId="0" xfId="0" applyFont="1"/>
    <xf numFmtId="200" fontId="0" fillId="7" borderId="0" xfId="1" applyNumberFormat="1" applyFont="1" applyFill="1"/>
    <xf numFmtId="200" fontId="14" fillId="7" borderId="0" xfId="1" applyNumberFormat="1" applyFont="1" applyFill="1"/>
    <xf numFmtId="200" fontId="0" fillId="4" borderId="0" xfId="1" applyNumberFormat="1" applyFont="1" applyFill="1"/>
    <xf numFmtId="200" fontId="0" fillId="5" borderId="10" xfId="1" applyNumberFormat="1" applyFont="1" applyFill="1" applyBorder="1" applyAlignment="1">
      <alignment horizontal="right"/>
    </xf>
    <xf numFmtId="200" fontId="0" fillId="5" borderId="9" xfId="1" applyNumberFormat="1" applyFont="1" applyFill="1" applyBorder="1" applyAlignment="1">
      <alignment horizontal="right"/>
    </xf>
    <xf numFmtId="200" fontId="0" fillId="6" borderId="0" xfId="1" applyNumberFormat="1" applyFont="1" applyFill="1" applyAlignment="1">
      <alignment horizontal="right"/>
    </xf>
    <xf numFmtId="200" fontId="0" fillId="0" borderId="0" xfId="1" applyNumberFormat="1" applyFont="1"/>
    <xf numFmtId="206" fontId="0" fillId="5" borderId="16" xfId="0" applyNumberFormat="1" applyFill="1" applyBorder="1"/>
    <xf numFmtId="206" fontId="0" fillId="2" borderId="0" xfId="1" applyNumberFormat="1" applyFont="1" applyFill="1"/>
    <xf numFmtId="206" fontId="0" fillId="2" borderId="16" xfId="1" applyNumberFormat="1" applyFont="1" applyFill="1" applyBorder="1"/>
    <xf numFmtId="206" fontId="0" fillId="6" borderId="0" xfId="1" applyNumberFormat="1" applyFont="1" applyFill="1"/>
    <xf numFmtId="206" fontId="0" fillId="5" borderId="9" xfId="0" applyNumberFormat="1" applyFill="1" applyBorder="1"/>
    <xf numFmtId="206" fontId="0" fillId="2" borderId="10" xfId="1" applyNumberFormat="1" applyFont="1" applyFill="1" applyBorder="1"/>
    <xf numFmtId="206" fontId="0" fillId="2" borderId="9" xfId="1" applyNumberFormat="1" applyFont="1" applyFill="1" applyBorder="1"/>
    <xf numFmtId="206" fontId="0" fillId="6" borderId="0" xfId="0" applyNumberFormat="1" applyFill="1"/>
    <xf numFmtId="200" fontId="16" fillId="7" borderId="0" xfId="1" applyNumberFormat="1" applyFont="1" applyFill="1" applyAlignment="1">
      <alignment horizontal="right"/>
    </xf>
    <xf numFmtId="0" fontId="10" fillId="4" borderId="17" xfId="0" applyFont="1" applyFill="1" applyBorder="1" applyAlignment="1">
      <alignment horizontal="center"/>
    </xf>
    <xf numFmtId="0" fontId="6" fillId="9" borderId="1" xfId="0" applyFont="1" applyFill="1" applyBorder="1" applyAlignment="1">
      <alignment horizontal="left" wrapText="1"/>
    </xf>
    <xf numFmtId="0" fontId="6" fillId="9" borderId="0" xfId="0" applyFont="1" applyFill="1" applyBorder="1" applyAlignment="1">
      <alignment horizontal="left" wrapText="1"/>
    </xf>
    <xf numFmtId="0" fontId="15" fillId="7" borderId="0" xfId="0" applyFont="1" applyFill="1" applyAlignment="1">
      <alignment horizontal="center"/>
    </xf>
  </cellXfs>
  <cellStyles count="3">
    <cellStyle name="Comma" xfId="1" builtinId="3"/>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1" Type="http://schemas.openxmlformats.org/officeDocument/2006/relationships/styles" Target="styles.xml"/><Relationship Id="rId12" Type="http://schemas.openxmlformats.org/officeDocument/2006/relationships/sharedStrings" Target="sharedStrings.xml"/><Relationship Id="rId13" Type="http://schemas.openxmlformats.org/officeDocument/2006/relationships/calcChain" Target="calcChain.xml"/><Relationship Id="rId14"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pivotCacheDefinition" Target="pivotCache/pivotCacheDefinition1.xml"/><Relationship Id="rId10"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342900</xdr:colOff>
          <xdr:row>4</xdr:row>
          <xdr:rowOff>114300</xdr:rowOff>
        </xdr:to>
        <xdr:sp macro="" textlink="">
          <xdr:nvSpPr>
            <xdr:cNvPr id="6145" name="Object 1" hidden="1">
              <a:extLst>
                <a:ext uri="{63B3BB69-23CF-44E3-9099-C40C66FF867C}">
                  <a14:compatExt spid="_x0000_s6145"/>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698500</xdr:colOff>
          <xdr:row>92</xdr:row>
          <xdr:rowOff>50800</xdr:rowOff>
        </xdr:from>
        <xdr:to>
          <xdr:col>7</xdr:col>
          <xdr:colOff>1117600</xdr:colOff>
          <xdr:row>96</xdr:row>
          <xdr:rowOff>127000</xdr:rowOff>
        </xdr:to>
        <xdr:sp macro="" textlink="">
          <xdr:nvSpPr>
            <xdr:cNvPr id="2057" name="Button 9" hidden="1">
              <a:extLst>
                <a:ext uri="{63B3BB69-23CF-44E3-9099-C40C66FF867C}">
                  <a14:compatExt spid="_x0000_s205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DD0806"/>
                  </a:solidFill>
                  <a:latin typeface="Comic Sans MS"/>
                  <a:ea typeface="Comic Sans MS"/>
                  <a:cs typeface="Comic Sans MS"/>
                </a:rPr>
                <a:t>Initialize Model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698500</xdr:colOff>
          <xdr:row>97</xdr:row>
          <xdr:rowOff>50800</xdr:rowOff>
        </xdr:from>
        <xdr:to>
          <xdr:col>8</xdr:col>
          <xdr:colOff>0</xdr:colOff>
          <xdr:row>101</xdr:row>
          <xdr:rowOff>76200</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DD0806"/>
                  </a:solidFill>
                  <a:latin typeface="Comic Sans MS"/>
                  <a:ea typeface="Comic Sans MS"/>
                  <a:cs typeface="Comic Sans MS"/>
                </a:rPr>
                <a:t>Zero Tariff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673100</xdr:colOff>
          <xdr:row>102</xdr:row>
          <xdr:rowOff>38100</xdr:rowOff>
        </xdr:from>
        <xdr:to>
          <xdr:col>8</xdr:col>
          <xdr:colOff>0</xdr:colOff>
          <xdr:row>106</xdr:row>
          <xdr:rowOff>50800</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DD0806"/>
                  </a:solidFill>
                  <a:latin typeface="Comic Sans MS"/>
                  <a:ea typeface="Comic Sans MS"/>
                  <a:cs typeface="Comic Sans MS"/>
                </a:rPr>
                <a:t>Full Trade Reform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698500</xdr:colOff>
          <xdr:row>107</xdr:row>
          <xdr:rowOff>63500</xdr:rowOff>
        </xdr:from>
        <xdr:to>
          <xdr:col>8</xdr:col>
          <xdr:colOff>25400</xdr:colOff>
          <xdr:row>111</xdr:row>
          <xdr:rowOff>76200</xdr:rowOff>
        </xdr:to>
        <xdr:sp macro="" textlink="">
          <xdr:nvSpPr>
            <xdr:cNvPr id="2073" name="Button 25" hidden="1">
              <a:extLst>
                <a:ext uri="{63B3BB69-23CF-44E3-9099-C40C66FF867C}">
                  <a14:compatExt spid="_x0000_s207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DD0806"/>
                  </a:solidFill>
                  <a:latin typeface="Comic Sans MS"/>
                  <a:ea typeface="Comic Sans MS"/>
                  <a:cs typeface="Comic Sans MS"/>
                </a:rPr>
                <a:t>Agricultural</a:t>
              </a:r>
            </a:p>
            <a:p>
              <a:pPr algn="ctr" rtl="0">
                <a:defRPr sz="1000"/>
              </a:pPr>
              <a:r>
                <a:rPr lang="en-US" sz="1000" b="1" i="0" u="none" strike="noStrike" baseline="0">
                  <a:solidFill>
                    <a:srgbClr val="DD0806"/>
                  </a:solidFill>
                  <a:latin typeface="Comic Sans MS"/>
                  <a:ea typeface="Comic Sans MS"/>
                  <a:cs typeface="Comic Sans MS"/>
                </a:rPr>
                <a:t>Export Tax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698500</xdr:colOff>
          <xdr:row>112</xdr:row>
          <xdr:rowOff>88900</xdr:rowOff>
        </xdr:from>
        <xdr:to>
          <xdr:col>8</xdr:col>
          <xdr:colOff>38100</xdr:colOff>
          <xdr:row>116</xdr:row>
          <xdr:rowOff>101600</xdr:rowOff>
        </xdr:to>
        <xdr:sp macro="" textlink="">
          <xdr:nvSpPr>
            <xdr:cNvPr id="2074" name="Button 26" hidden="1">
              <a:extLst>
                <a:ext uri="{63B3BB69-23CF-44E3-9099-C40C66FF867C}">
                  <a14:compatExt spid="_x0000_s207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DD0806"/>
                  </a:solidFill>
                  <a:latin typeface="Comic Sans MS"/>
                  <a:ea typeface="Comic Sans MS"/>
                  <a:cs typeface="Comic Sans MS"/>
                </a:rPr>
                <a:t>Agricultural</a:t>
              </a:r>
            </a:p>
            <a:p>
              <a:pPr algn="ctr" rtl="0">
                <a:defRPr sz="1000"/>
              </a:pPr>
              <a:r>
                <a:rPr lang="en-US" sz="1000" b="1" i="0" u="none" strike="noStrike" baseline="0">
                  <a:solidFill>
                    <a:srgbClr val="DD0806"/>
                  </a:solidFill>
                  <a:latin typeface="Comic Sans MS"/>
                  <a:ea typeface="Comic Sans MS"/>
                  <a:cs typeface="Comic Sans MS"/>
                </a:rPr>
                <a:t>Export Prices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774700</xdr:colOff>
          <xdr:row>117</xdr:row>
          <xdr:rowOff>88900</xdr:rowOff>
        </xdr:from>
        <xdr:to>
          <xdr:col>8</xdr:col>
          <xdr:colOff>101600</xdr:colOff>
          <xdr:row>121</xdr:row>
          <xdr:rowOff>101600</xdr:rowOff>
        </xdr:to>
        <xdr:sp macro="" textlink="">
          <xdr:nvSpPr>
            <xdr:cNvPr id="2075" name="Button 27" hidden="1">
              <a:extLst>
                <a:ext uri="{63B3BB69-23CF-44E3-9099-C40C66FF867C}">
                  <a14:compatExt spid="_x0000_s207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n-US" sz="1000" b="1" i="0" u="none" strike="noStrike" baseline="0">
                  <a:solidFill>
                    <a:srgbClr val="DD0806"/>
                  </a:solidFill>
                  <a:latin typeface="Comic Sans MS"/>
                  <a:ea typeface="Comic Sans MS"/>
                  <a:cs typeface="Comic Sans MS"/>
                </a:rPr>
                <a:t>Other</a:t>
              </a:r>
            </a:p>
            <a:p>
              <a:pPr algn="ctr" rtl="0">
                <a:defRPr sz="1000"/>
              </a:pPr>
              <a:r>
                <a:rPr lang="en-US" sz="1000" b="1" i="0" u="none" strike="noStrike" baseline="0">
                  <a:solidFill>
                    <a:srgbClr val="DD0806"/>
                  </a:solidFill>
                  <a:latin typeface="Comic Sans MS"/>
                  <a:ea typeface="Comic Sans MS"/>
                  <a:cs typeface="Comic Sans MS"/>
                </a:rPr>
                <a:t>Export Prices</a:t>
              </a:r>
            </a:p>
          </xdr:txBody>
        </xdr:sp>
        <xdr:clientData fPrintsWithSheet="0"/>
      </xdr:twoCellAnchor>
    </mc:Choice>
    <mc:Fallback/>
  </mc:AlternateContent>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Dominique van der Mensbrugghe" refreshedDate="36668.940159722224" createdVersion="1" recordCount="238">
  <cacheSource type="worksheet">
    <worksheetSource name="Regions"/>
  </cacheSource>
  <cacheFields count="5">
    <cacheField name="Seq" numFmtId="0">
      <sharedItems containsSemiMixedTypes="0" containsString="0" containsNumber="1" containsInteger="1" minValue="1" maxValue="238"/>
    </cacheField>
    <cacheField name="CountryCode" numFmtId="0">
      <sharedItems/>
    </cacheField>
    <cacheField name="Country" numFmtId="0">
      <sharedItems/>
    </cacheField>
    <cacheField name="GTAPCode" numFmtId="0">
      <sharedItems count="80">
        <s v="aus"/>
        <s v="nzl"/>
        <s v="jpn"/>
        <s v="kor"/>
        <s v="idn"/>
        <s v="mys"/>
        <s v="phl"/>
        <s v="sgp"/>
        <s v="tha"/>
        <s v="vnm"/>
        <s v="chn"/>
        <s v="hkg"/>
        <s v="twn"/>
        <s v="ind"/>
        <s v="lka"/>
        <s v="bgd"/>
        <s v="xsa"/>
        <s v="can"/>
        <s v="usa"/>
        <s v="mex"/>
        <s v="xcm"/>
        <s v="ven"/>
        <s v="col"/>
        <s v="xap"/>
        <s v="per"/>
        <s v="arg"/>
        <s v="bra"/>
        <s v="chl"/>
        <s v="ury"/>
        <s v="xsm"/>
        <s v="gbr"/>
        <s v="deu"/>
        <s v="dnk"/>
        <s v="swe"/>
        <s v="fin"/>
        <s v="aut"/>
        <s v="xbl"/>
        <s v="fra"/>
        <s v="grc"/>
        <s v="ita"/>
        <s v="irl"/>
        <s v="nld"/>
        <s v="prt"/>
        <s v="esp"/>
        <s v="xef"/>
        <s v="che"/>
        <s v="xce"/>
        <s v="hun"/>
        <s v="pol"/>
        <s v="xsu"/>
        <s v="tur"/>
        <s v="xme"/>
        <s v="mar"/>
        <s v="xnf"/>
        <s v="bwa"/>
        <s v="xsc"/>
        <s v="xsf"/>
        <s v="mwi"/>
        <s v="moz"/>
        <s v="tza"/>
        <s v="zmb"/>
        <s v="zwe"/>
        <s v="xss"/>
        <s v="uga"/>
        <s v="xrw"/>
        <s v="blx" u="1"/>
        <s v="cam" u="1"/>
        <s v="cea" u="1"/>
        <s v="eft" u="1"/>
        <s v="fsu" u="1"/>
        <s v="rap" u="1"/>
        <s v="ras" u="1"/>
        <s v="reu" u="1"/>
        <s v="rme" u="1"/>
        <s v="rnf" u="1"/>
        <s v="row" u="1"/>
        <s v="rsa" u="1"/>
        <s v="rsm" u="1"/>
        <s v="rss" u="1"/>
        <s v="saf" u="1"/>
      </sharedItems>
    </cacheField>
    <cacheField name="GTAPName" numFmtId="0">
      <sharedItems count="69">
        <s v="Australia"/>
        <s v="New Zealand"/>
        <s v="Japan"/>
        <s v="Korea"/>
        <s v="Indonesia"/>
        <s v="Malaysia"/>
        <s v="Philippines"/>
        <s v="Singapore"/>
        <s v="Thailand"/>
        <s v="Vietnam"/>
        <s v="China"/>
        <s v="Hong Kong"/>
        <s v="Taiwan"/>
        <s v="India"/>
        <s v="Sri Lanka"/>
        <s v="Bangladesh"/>
        <s v="Rest of South Asia"/>
        <s v="Canada"/>
        <s v="United States"/>
        <s v="Mexico"/>
        <s v="Central America and the Caribbean"/>
        <s v="Venezuela"/>
        <s v="Colombia"/>
        <s v="Rest of the Andean Pact"/>
        <s v="Peru"/>
        <s v="Argentina"/>
        <s v="Brazil"/>
        <s v="Chile"/>
        <s v="Uruguay"/>
        <s v="Rest of South America"/>
        <s v="Great Britain"/>
        <s v="Germany"/>
        <s v="Denmark"/>
        <s v="Sweden"/>
        <s v="Finland"/>
        <s v="Austria"/>
        <s v="Belgium/Luxembourg"/>
        <s v="France"/>
        <s v="Greece"/>
        <s v="Italy"/>
        <s v="Ireland"/>
        <s v="Netherlands"/>
        <s v="Portugal"/>
        <s v="Spain"/>
        <s v="Rest of EFTA"/>
        <s v="Switzerland"/>
        <s v="Rest of Central Eastern European Associates"/>
        <s v="Hungary"/>
        <s v="Poland"/>
        <s v="Former Soviet Union"/>
        <s v="Turkey"/>
        <s v="Rest of the Middle East"/>
        <s v="Morocco"/>
        <s v="Rest of North Africa"/>
        <s v="Botswana"/>
        <s v="Rest of South African Customs Union"/>
        <s v="Rest of Southern Africa"/>
        <s v="Malawi"/>
        <s v="Mozambique"/>
        <s v="Tanzania"/>
        <s v="Zambia"/>
        <s v="Zimbabwe"/>
        <s v="Rest of Sub Saharan Africa"/>
        <s v="Uganda"/>
        <s v="Rest of the World"/>
        <s v="Central European Associates" u="1"/>
        <s v="European Free Trade Area" u="1"/>
        <s v="Rest of the European Union" u="1"/>
        <s v="South African Customs Union"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38">
  <r>
    <n v="1"/>
    <s v="aus"/>
    <s v="Australia"/>
    <x v="0"/>
    <x v="0"/>
  </r>
  <r>
    <n v="2"/>
    <s v="hmd"/>
    <s v="Heard &amp; McDonald Islands"/>
    <x v="0"/>
    <x v="0"/>
  </r>
  <r>
    <n v="3"/>
    <s v="nfk"/>
    <s v="Norfolk Island"/>
    <x v="0"/>
    <x v="0"/>
  </r>
  <r>
    <n v="4"/>
    <s v="nzl"/>
    <s v="New Zealand"/>
    <x v="1"/>
    <x v="1"/>
  </r>
  <r>
    <n v="5"/>
    <s v="jpn"/>
    <s v="Japan"/>
    <x v="2"/>
    <x v="2"/>
  </r>
  <r>
    <n v="6"/>
    <s v="kor"/>
    <s v="Republic of Korea"/>
    <x v="3"/>
    <x v="3"/>
  </r>
  <r>
    <n v="7"/>
    <s v="idn"/>
    <s v="Indonesia"/>
    <x v="4"/>
    <x v="4"/>
  </r>
  <r>
    <n v="8"/>
    <s v="tmp"/>
    <s v="East Timor"/>
    <x v="4"/>
    <x v="4"/>
  </r>
  <r>
    <n v="9"/>
    <s v="mys"/>
    <s v="Malaysia"/>
    <x v="5"/>
    <x v="5"/>
  </r>
  <r>
    <n v="10"/>
    <s v="phl"/>
    <s v="Philippines"/>
    <x v="6"/>
    <x v="6"/>
  </r>
  <r>
    <n v="11"/>
    <s v="sgp"/>
    <s v="Singapore"/>
    <x v="7"/>
    <x v="7"/>
  </r>
  <r>
    <n v="12"/>
    <s v="tha"/>
    <s v="Thailand"/>
    <x v="8"/>
    <x v="8"/>
  </r>
  <r>
    <n v="13"/>
    <s v="vnm"/>
    <s v="Viet Nam"/>
    <x v="9"/>
    <x v="9"/>
  </r>
  <r>
    <n v="14"/>
    <s v="chn"/>
    <s v="China"/>
    <x v="10"/>
    <x v="10"/>
  </r>
  <r>
    <n v="15"/>
    <s v="hkg"/>
    <s v="Hong Kong"/>
    <x v="11"/>
    <x v="11"/>
  </r>
  <r>
    <n v="16"/>
    <s v="twn"/>
    <s v="Taiwan"/>
    <x v="12"/>
    <x v="12"/>
  </r>
  <r>
    <n v="17"/>
    <s v="ind"/>
    <s v="India"/>
    <x v="13"/>
    <x v="13"/>
  </r>
  <r>
    <n v="18"/>
    <s v="lka"/>
    <s v="Sri Lanka"/>
    <x v="14"/>
    <x v="14"/>
  </r>
  <r>
    <n v="19"/>
    <s v="bgd"/>
    <s v="Bangladesh"/>
    <x v="15"/>
    <x v="15"/>
  </r>
  <r>
    <n v="20"/>
    <s v="btn"/>
    <s v="Bhutan"/>
    <x v="16"/>
    <x v="16"/>
  </r>
  <r>
    <n v="21"/>
    <s v="mdv"/>
    <s v="Maldives"/>
    <x v="16"/>
    <x v="16"/>
  </r>
  <r>
    <n v="22"/>
    <s v="npl"/>
    <s v="Nepal"/>
    <x v="16"/>
    <x v="16"/>
  </r>
  <r>
    <n v="23"/>
    <s v="pak"/>
    <s v="Pakistan"/>
    <x v="16"/>
    <x v="16"/>
  </r>
  <r>
    <n v="24"/>
    <s v="can"/>
    <s v="Canada"/>
    <x v="17"/>
    <x v="17"/>
  </r>
  <r>
    <n v="25"/>
    <s v="asm"/>
    <s v="American Samoa"/>
    <x v="18"/>
    <x v="18"/>
  </r>
  <r>
    <n v="26"/>
    <s v="gum"/>
    <s v="Guam"/>
    <x v="18"/>
    <x v="18"/>
  </r>
  <r>
    <n v="27"/>
    <s v="mnp"/>
    <s v="Northern Mariana Islands"/>
    <x v="18"/>
    <x v="18"/>
  </r>
  <r>
    <n v="28"/>
    <s v="pri"/>
    <s v="Puerto Rico"/>
    <x v="18"/>
    <x v="18"/>
  </r>
  <r>
    <n v="29"/>
    <s v="vir"/>
    <s v="United States Virgin Islands"/>
    <x v="18"/>
    <x v="18"/>
  </r>
  <r>
    <n v="30"/>
    <s v="usa"/>
    <s v="United States of America"/>
    <x v="18"/>
    <x v="18"/>
  </r>
  <r>
    <n v="31"/>
    <s v="mex"/>
    <s v="Mexico"/>
    <x v="19"/>
    <x v="19"/>
  </r>
  <r>
    <n v="32"/>
    <s v="aia"/>
    <s v="Anguilla"/>
    <x v="20"/>
    <x v="20"/>
  </r>
  <r>
    <n v="33"/>
    <s v="atg"/>
    <s v="Antigua &amp; Barbuda"/>
    <x v="20"/>
    <x v="20"/>
  </r>
  <r>
    <n v="34"/>
    <s v="abw"/>
    <s v="Aruba"/>
    <x v="20"/>
    <x v="20"/>
  </r>
  <r>
    <n v="35"/>
    <s v="bhs"/>
    <s v="Bahamas"/>
    <x v="20"/>
    <x v="20"/>
  </r>
  <r>
    <n v="36"/>
    <s v="brb"/>
    <s v="Barbados"/>
    <x v="20"/>
    <x v="20"/>
  </r>
  <r>
    <n v="37"/>
    <s v="blz"/>
    <s v="Belize"/>
    <x v="20"/>
    <x v="20"/>
  </r>
  <r>
    <n v="38"/>
    <s v="vgb"/>
    <s v="British Virgin Islands"/>
    <x v="20"/>
    <x v="20"/>
  </r>
  <r>
    <n v="39"/>
    <s v="cym"/>
    <s v="Cayman Islands"/>
    <x v="20"/>
    <x v="20"/>
  </r>
  <r>
    <n v="40"/>
    <s v="cri"/>
    <s v="Costa Rica"/>
    <x v="20"/>
    <x v="20"/>
  </r>
  <r>
    <n v="41"/>
    <s v="cub"/>
    <s v="Cuba"/>
    <x v="20"/>
    <x v="20"/>
  </r>
  <r>
    <n v="42"/>
    <s v="dma"/>
    <s v="Dominica"/>
    <x v="20"/>
    <x v="20"/>
  </r>
  <r>
    <n v="43"/>
    <s v="dom"/>
    <s v="Dominican Republic"/>
    <x v="20"/>
    <x v="20"/>
  </r>
  <r>
    <n v="44"/>
    <s v="slv"/>
    <s v="El Salvador"/>
    <x v="20"/>
    <x v="20"/>
  </r>
  <r>
    <n v="45"/>
    <s v="grd"/>
    <s v="Grenada"/>
    <x v="20"/>
    <x v="20"/>
  </r>
  <r>
    <n v="46"/>
    <s v="gtm"/>
    <s v="Guatemala"/>
    <x v="20"/>
    <x v="20"/>
  </r>
  <r>
    <n v="47"/>
    <s v="hti"/>
    <s v="Haiti"/>
    <x v="20"/>
    <x v="20"/>
  </r>
  <r>
    <n v="48"/>
    <s v="hnd"/>
    <s v="Honduras"/>
    <x v="20"/>
    <x v="20"/>
  </r>
  <r>
    <n v="49"/>
    <s v="jam"/>
    <s v="Jamaica"/>
    <x v="20"/>
    <x v="20"/>
  </r>
  <r>
    <n v="50"/>
    <s v="msr"/>
    <s v="Montserrat"/>
    <x v="20"/>
    <x v="20"/>
  </r>
  <r>
    <n v="51"/>
    <s v="ant"/>
    <s v="Netherlands Antilles"/>
    <x v="20"/>
    <x v="20"/>
  </r>
  <r>
    <n v="52"/>
    <s v="nic"/>
    <s v="Nicaragua"/>
    <x v="20"/>
    <x v="20"/>
  </r>
  <r>
    <n v="53"/>
    <s v="pan"/>
    <s v="Panama"/>
    <x v="20"/>
    <x v="20"/>
  </r>
  <r>
    <n v="54"/>
    <s v="kna"/>
    <s v="St. Kitts &amp; Nevis"/>
    <x v="20"/>
    <x v="20"/>
  </r>
  <r>
    <n v="55"/>
    <s v="lca"/>
    <s v="St. Lucia"/>
    <x v="20"/>
    <x v="20"/>
  </r>
  <r>
    <n v="56"/>
    <s v="elo"/>
    <s v="Saint Pierre et Miq"/>
    <x v="20"/>
    <x v="20"/>
  </r>
  <r>
    <n v="57"/>
    <s v="vct"/>
    <s v="St. Vincent and the Grenadines"/>
    <x v="20"/>
    <x v="20"/>
  </r>
  <r>
    <n v="58"/>
    <s v="tto"/>
    <s v="Trinidad &amp; Tobago"/>
    <x v="20"/>
    <x v="20"/>
  </r>
  <r>
    <n v="59"/>
    <s v="tca"/>
    <s v="Turks and Caicos Islands"/>
    <x v="20"/>
    <x v="20"/>
  </r>
  <r>
    <n v="60"/>
    <s v="ven"/>
    <s v="Venezuela"/>
    <x v="21"/>
    <x v="21"/>
  </r>
  <r>
    <n v="61"/>
    <s v="col"/>
    <s v="Columbia"/>
    <x v="22"/>
    <x v="22"/>
  </r>
  <r>
    <n v="62"/>
    <s v="bol"/>
    <s v="Bolivia"/>
    <x v="23"/>
    <x v="23"/>
  </r>
  <r>
    <n v="63"/>
    <s v="ecu"/>
    <s v="Ecuador"/>
    <x v="23"/>
    <x v="23"/>
  </r>
  <r>
    <n v="64"/>
    <s v="per"/>
    <s v="Peru"/>
    <x v="24"/>
    <x v="24"/>
  </r>
  <r>
    <n v="65"/>
    <s v="arg"/>
    <s v="Argentina"/>
    <x v="25"/>
    <x v="25"/>
  </r>
  <r>
    <n v="66"/>
    <s v="bra"/>
    <s v="Brazil"/>
    <x v="26"/>
    <x v="26"/>
  </r>
  <r>
    <n v="67"/>
    <s v="chl"/>
    <s v="Chile"/>
    <x v="27"/>
    <x v="27"/>
  </r>
  <r>
    <n v="68"/>
    <s v="ury"/>
    <s v="Uruguay"/>
    <x v="28"/>
    <x v="28"/>
  </r>
  <r>
    <n v="69"/>
    <s v="guy"/>
    <s v="Guyana"/>
    <x v="29"/>
    <x v="29"/>
  </r>
  <r>
    <n v="70"/>
    <s v="pry"/>
    <s v="Paraguay"/>
    <x v="29"/>
    <x v="29"/>
  </r>
  <r>
    <n v="71"/>
    <s v="sur"/>
    <s v="Suriname"/>
    <x v="29"/>
    <x v="29"/>
  </r>
  <r>
    <n v="72"/>
    <s v="chi"/>
    <s v="Channel Islands"/>
    <x v="30"/>
    <x v="30"/>
  </r>
  <r>
    <n v="73"/>
    <s v="imy"/>
    <s v="Isle of Man"/>
    <x v="30"/>
    <x v="30"/>
  </r>
  <r>
    <n v="74"/>
    <s v="gbr"/>
    <s v="United Kingdom"/>
    <x v="30"/>
    <x v="30"/>
  </r>
  <r>
    <n v="75"/>
    <s v="deu"/>
    <s v="Germany"/>
    <x v="31"/>
    <x v="31"/>
  </r>
  <r>
    <n v="76"/>
    <s v="dnk"/>
    <s v="Denmark"/>
    <x v="32"/>
    <x v="32"/>
  </r>
  <r>
    <n v="77"/>
    <s v="swe"/>
    <s v="Sweden"/>
    <x v="33"/>
    <x v="33"/>
  </r>
  <r>
    <n v="78"/>
    <s v="fin"/>
    <s v="Finland"/>
    <x v="34"/>
    <x v="34"/>
  </r>
  <r>
    <n v="79"/>
    <s v="aut"/>
    <s v="Austria"/>
    <x v="35"/>
    <x v="35"/>
  </r>
  <r>
    <n v="80"/>
    <s v="bel"/>
    <s v="Belgium"/>
    <x v="36"/>
    <x v="36"/>
  </r>
  <r>
    <n v="81"/>
    <s v="fra"/>
    <s v="France"/>
    <x v="37"/>
    <x v="37"/>
  </r>
  <r>
    <n v="82"/>
    <s v="guf"/>
    <s v="French Guiana"/>
    <x v="37"/>
    <x v="37"/>
  </r>
  <r>
    <n v="83"/>
    <s v="gib"/>
    <s v="Gibraltar"/>
    <x v="30"/>
    <x v="30"/>
  </r>
  <r>
    <n v="84"/>
    <s v="grc"/>
    <s v="Greece"/>
    <x v="38"/>
    <x v="38"/>
  </r>
  <r>
    <n v="85"/>
    <s v="glp"/>
    <s v="Guadeloupe"/>
    <x v="37"/>
    <x v="37"/>
  </r>
  <r>
    <n v="86"/>
    <s v="vat"/>
    <s v="Holy See"/>
    <x v="39"/>
    <x v="39"/>
  </r>
  <r>
    <n v="87"/>
    <s v="irl"/>
    <s v="Ireland"/>
    <x v="40"/>
    <x v="40"/>
  </r>
  <r>
    <n v="88"/>
    <s v="ita"/>
    <s v="Italy"/>
    <x v="39"/>
    <x v="39"/>
  </r>
  <r>
    <n v="89"/>
    <s v="lux"/>
    <s v="Luxembourg"/>
    <x v="36"/>
    <x v="36"/>
  </r>
  <r>
    <n v="90"/>
    <s v="mtq"/>
    <s v="Martinique"/>
    <x v="37"/>
    <x v="37"/>
  </r>
  <r>
    <n v="91"/>
    <s v="mon"/>
    <s v="Monaco"/>
    <x v="37"/>
    <x v="37"/>
  </r>
  <r>
    <n v="92"/>
    <s v="nld"/>
    <s v="Netherlands"/>
    <x v="41"/>
    <x v="41"/>
  </r>
  <r>
    <n v="93"/>
    <s v="prt"/>
    <s v="Portugal"/>
    <x v="42"/>
    <x v="42"/>
  </r>
  <r>
    <n v="94"/>
    <s v="reu"/>
    <s v="Reunion"/>
    <x v="37"/>
    <x v="37"/>
  </r>
  <r>
    <n v="95"/>
    <s v="smr"/>
    <s v="San Marino"/>
    <x v="39"/>
    <x v="39"/>
  </r>
  <r>
    <n v="96"/>
    <s v="esp"/>
    <s v="Spain"/>
    <x v="43"/>
    <x v="43"/>
  </r>
  <r>
    <n v="97"/>
    <s v="isl"/>
    <s v="Iceland"/>
    <x v="44"/>
    <x v="44"/>
  </r>
  <r>
    <n v="98"/>
    <s v="lei"/>
    <s v="Liechtenstein"/>
    <x v="44"/>
    <x v="44"/>
  </r>
  <r>
    <n v="99"/>
    <s v="nor"/>
    <s v="Norway"/>
    <x v="44"/>
    <x v="44"/>
  </r>
  <r>
    <n v="100"/>
    <s v="pa2"/>
    <s v="Pakistan E/W"/>
    <x v="44"/>
    <x v="44"/>
  </r>
  <r>
    <n v="101"/>
    <s v="sjm"/>
    <s v="Svalbard and Jan Mayen Islands"/>
    <x v="44"/>
    <x v="44"/>
  </r>
  <r>
    <n v="102"/>
    <s v="che"/>
    <s v="Switzerland"/>
    <x v="45"/>
    <x v="45"/>
  </r>
  <r>
    <n v="103"/>
    <s v="bgr"/>
    <s v="Bulgaria"/>
    <x v="46"/>
    <x v="46"/>
  </r>
  <r>
    <n v="104"/>
    <s v="cze"/>
    <s v="Czech Republic"/>
    <x v="46"/>
    <x v="46"/>
  </r>
  <r>
    <n v="105"/>
    <s v="hun"/>
    <s v="Hungary"/>
    <x v="47"/>
    <x v="47"/>
  </r>
  <r>
    <n v="106"/>
    <s v="pol"/>
    <s v="Poland"/>
    <x v="48"/>
    <x v="48"/>
  </r>
  <r>
    <n v="107"/>
    <s v="rom"/>
    <s v="Romania"/>
    <x v="46"/>
    <x v="46"/>
  </r>
  <r>
    <n v="108"/>
    <s v="svk"/>
    <s v="Slovakia"/>
    <x v="46"/>
    <x v="46"/>
  </r>
  <r>
    <n v="109"/>
    <s v="svn"/>
    <s v="Slovenia"/>
    <x v="46"/>
    <x v="46"/>
  </r>
  <r>
    <n v="110"/>
    <s v="arm"/>
    <s v="Armenia"/>
    <x v="49"/>
    <x v="49"/>
  </r>
  <r>
    <n v="111"/>
    <s v="aze"/>
    <s v="Azerbaijan"/>
    <x v="49"/>
    <x v="49"/>
  </r>
  <r>
    <n v="112"/>
    <s v="blr"/>
    <s v="Belarus"/>
    <x v="49"/>
    <x v="49"/>
  </r>
  <r>
    <n v="113"/>
    <s v="est"/>
    <s v="Estonia"/>
    <x v="49"/>
    <x v="49"/>
  </r>
  <r>
    <n v="114"/>
    <s v="geo"/>
    <s v="Georgia"/>
    <x v="49"/>
    <x v="49"/>
  </r>
  <r>
    <n v="115"/>
    <s v="kaz"/>
    <s v="Kazakhstan"/>
    <x v="49"/>
    <x v="49"/>
  </r>
  <r>
    <n v="116"/>
    <s v="kgz"/>
    <s v="Kyrgyz Republic"/>
    <x v="49"/>
    <x v="49"/>
  </r>
  <r>
    <n v="117"/>
    <s v="lva"/>
    <s v="Latvia"/>
    <x v="49"/>
    <x v="49"/>
  </r>
  <r>
    <n v="118"/>
    <s v="ltu"/>
    <s v="Lithuania"/>
    <x v="49"/>
    <x v="49"/>
  </r>
  <r>
    <n v="119"/>
    <s v="mda"/>
    <s v="Moldova"/>
    <x v="49"/>
    <x v="49"/>
  </r>
  <r>
    <n v="120"/>
    <s v="rus"/>
    <s v="Russian Federation"/>
    <x v="49"/>
    <x v="49"/>
  </r>
  <r>
    <n v="121"/>
    <s v="tjk"/>
    <s v="Tajikistan"/>
    <x v="49"/>
    <x v="49"/>
  </r>
  <r>
    <n v="122"/>
    <s v="tkm"/>
    <s v="Turkmenistan"/>
    <x v="49"/>
    <x v="49"/>
  </r>
  <r>
    <n v="123"/>
    <s v="ukr"/>
    <s v="Ukraine"/>
    <x v="49"/>
    <x v="49"/>
  </r>
  <r>
    <n v="124"/>
    <s v="uzb"/>
    <s v="Uzbekistan"/>
    <x v="49"/>
    <x v="49"/>
  </r>
  <r>
    <n v="125"/>
    <s v="tur"/>
    <s v="Turkey"/>
    <x v="50"/>
    <x v="50"/>
  </r>
  <r>
    <n v="126"/>
    <s v="bhr"/>
    <s v="Bahrain"/>
    <x v="51"/>
    <x v="51"/>
  </r>
  <r>
    <n v="127"/>
    <s v="irn"/>
    <s v="Iran"/>
    <x v="51"/>
    <x v="51"/>
  </r>
  <r>
    <n v="128"/>
    <s v="irq"/>
    <s v="Iraq"/>
    <x v="51"/>
    <x v="51"/>
  </r>
  <r>
    <n v="129"/>
    <s v="isr"/>
    <s v="Israel"/>
    <x v="51"/>
    <x v="51"/>
  </r>
  <r>
    <n v="130"/>
    <s v="jor"/>
    <s v="Jordan"/>
    <x v="51"/>
    <x v="51"/>
  </r>
  <r>
    <n v="131"/>
    <s v="kwt"/>
    <s v="Kuwait"/>
    <x v="51"/>
    <x v="51"/>
  </r>
  <r>
    <n v="132"/>
    <s v="lbn"/>
    <s v="Lebanon"/>
    <x v="51"/>
    <x v="51"/>
  </r>
  <r>
    <n v="133"/>
    <s v="omn"/>
    <s v="Oman"/>
    <x v="51"/>
    <x v="51"/>
  </r>
  <r>
    <n v="134"/>
    <s v="qat"/>
    <s v="Qatar"/>
    <x v="51"/>
    <x v="51"/>
  </r>
  <r>
    <n v="135"/>
    <s v="sau"/>
    <s v="Saudi Arabia"/>
    <x v="51"/>
    <x v="51"/>
  </r>
  <r>
    <n v="136"/>
    <s v="syr"/>
    <s v="Syrian Arab Republic"/>
    <x v="51"/>
    <x v="51"/>
  </r>
  <r>
    <n v="137"/>
    <s v="are"/>
    <s v="United Arab Emirates"/>
    <x v="51"/>
    <x v="51"/>
  </r>
  <r>
    <n v="138"/>
    <s v="yem"/>
    <s v="Yemen"/>
    <x v="51"/>
    <x v="51"/>
  </r>
  <r>
    <n v="139"/>
    <s v="ydr"/>
    <s v="Yemen Democratic"/>
    <x v="51"/>
    <x v="51"/>
  </r>
  <r>
    <n v="140"/>
    <s v="mar"/>
    <s v="Morocco"/>
    <x v="52"/>
    <x v="52"/>
  </r>
  <r>
    <n v="141"/>
    <s v="esh"/>
    <s v="Western Sahara"/>
    <x v="52"/>
    <x v="52"/>
  </r>
  <r>
    <n v="142"/>
    <s v="dza"/>
    <s v="Algeria"/>
    <x v="53"/>
    <x v="53"/>
  </r>
  <r>
    <n v="143"/>
    <s v="egy"/>
    <s v="Egypt"/>
    <x v="53"/>
    <x v="53"/>
  </r>
  <r>
    <n v="144"/>
    <s v="lby"/>
    <s v="Libya"/>
    <x v="53"/>
    <x v="53"/>
  </r>
  <r>
    <n v="145"/>
    <s v="tun"/>
    <s v="Tunisia"/>
    <x v="53"/>
    <x v="53"/>
  </r>
  <r>
    <n v="146"/>
    <s v="bwa"/>
    <s v="bwa"/>
    <x v="54"/>
    <x v="54"/>
  </r>
  <r>
    <n v="147"/>
    <s v="lso"/>
    <s v="Lesotho"/>
    <x v="55"/>
    <x v="55"/>
  </r>
  <r>
    <n v="148"/>
    <s v="nam"/>
    <s v="Namibia"/>
    <x v="55"/>
    <x v="55"/>
  </r>
  <r>
    <n v="149"/>
    <s v="zaf"/>
    <s v="South Africa"/>
    <x v="55"/>
    <x v="55"/>
  </r>
  <r>
    <n v="150"/>
    <s v="swz"/>
    <s v="Swaziland"/>
    <x v="55"/>
    <x v="55"/>
  </r>
  <r>
    <n v="151"/>
    <s v="ago"/>
    <s v="Angola"/>
    <x v="56"/>
    <x v="56"/>
  </r>
  <r>
    <n v="152"/>
    <s v="mwi"/>
    <s v="Malawi"/>
    <x v="57"/>
    <x v="57"/>
  </r>
  <r>
    <n v="153"/>
    <s v="mus"/>
    <s v="Mauritius"/>
    <x v="56"/>
    <x v="56"/>
  </r>
  <r>
    <n v="154"/>
    <s v="moz"/>
    <s v="Mozambique"/>
    <x v="58"/>
    <x v="58"/>
  </r>
  <r>
    <n v="155"/>
    <s v="tza"/>
    <s v="Tanzania"/>
    <x v="59"/>
    <x v="59"/>
  </r>
  <r>
    <n v="156"/>
    <s v="zmb"/>
    <s v="Zambia"/>
    <x v="60"/>
    <x v="60"/>
  </r>
  <r>
    <n v="157"/>
    <s v="zwe"/>
    <s v="Zimbabwe"/>
    <x v="61"/>
    <x v="61"/>
  </r>
  <r>
    <n v="158"/>
    <s v="ben"/>
    <s v="Benin"/>
    <x v="62"/>
    <x v="62"/>
  </r>
  <r>
    <n v="159"/>
    <s v="bfa"/>
    <s v="Burkina Faso"/>
    <x v="62"/>
    <x v="62"/>
  </r>
  <r>
    <n v="160"/>
    <s v="bdi"/>
    <s v="Burundi"/>
    <x v="62"/>
    <x v="62"/>
  </r>
  <r>
    <n v="161"/>
    <s v="cmr"/>
    <s v="Cameroon"/>
    <x v="62"/>
    <x v="62"/>
  </r>
  <r>
    <n v="162"/>
    <s v="cpv"/>
    <s v="Cape Verde"/>
    <x v="62"/>
    <x v="62"/>
  </r>
  <r>
    <n v="163"/>
    <s v="caf"/>
    <s v="Central African Republic"/>
    <x v="62"/>
    <x v="62"/>
  </r>
  <r>
    <n v="164"/>
    <s v="tcd"/>
    <s v="Chad"/>
    <x v="62"/>
    <x v="62"/>
  </r>
  <r>
    <n v="165"/>
    <s v="com"/>
    <s v="Comoros"/>
    <x v="62"/>
    <x v="62"/>
  </r>
  <r>
    <n v="166"/>
    <s v="cog"/>
    <s v="Congo"/>
    <x v="62"/>
    <x v="62"/>
  </r>
  <r>
    <n v="167"/>
    <s v="zar"/>
    <s v="Democratic Republic of the Congo"/>
    <x v="62"/>
    <x v="62"/>
  </r>
  <r>
    <n v="168"/>
    <s v="civ"/>
    <s v="Côte d'Ivoire"/>
    <x v="62"/>
    <x v="62"/>
  </r>
  <r>
    <n v="169"/>
    <s v="dji"/>
    <s v="Djibouti"/>
    <x v="62"/>
    <x v="62"/>
  </r>
  <r>
    <n v="170"/>
    <s v="gnq"/>
    <s v="Equatorial Guinea"/>
    <x v="62"/>
    <x v="62"/>
  </r>
  <r>
    <n v="171"/>
    <s v="eri"/>
    <s v="Eritrea"/>
    <x v="62"/>
    <x v="62"/>
  </r>
  <r>
    <n v="172"/>
    <s v="eth"/>
    <s v="Ethiopia"/>
    <x v="62"/>
    <x v="62"/>
  </r>
  <r>
    <n v="173"/>
    <s v="gab"/>
    <s v="Gabon"/>
    <x v="62"/>
    <x v="62"/>
  </r>
  <r>
    <n v="174"/>
    <s v="gmb"/>
    <s v="Gambia"/>
    <x v="62"/>
    <x v="62"/>
  </r>
  <r>
    <n v="175"/>
    <s v="gha"/>
    <s v="Ghana"/>
    <x v="62"/>
    <x v="62"/>
  </r>
  <r>
    <n v="176"/>
    <s v="gin"/>
    <s v="Guinea"/>
    <x v="62"/>
    <x v="62"/>
  </r>
  <r>
    <n v="177"/>
    <s v="gnb"/>
    <s v="Guinea-Bissau"/>
    <x v="62"/>
    <x v="62"/>
  </r>
  <r>
    <n v="178"/>
    <s v="ken"/>
    <s v="Kenya"/>
    <x v="62"/>
    <x v="62"/>
  </r>
  <r>
    <n v="179"/>
    <s v="lbr"/>
    <s v="Liberia"/>
    <x v="62"/>
    <x v="62"/>
  </r>
  <r>
    <n v="180"/>
    <s v="mdg"/>
    <s v="Madagascar"/>
    <x v="62"/>
    <x v="62"/>
  </r>
  <r>
    <n v="181"/>
    <s v="mli"/>
    <s v="Mali"/>
    <x v="62"/>
    <x v="62"/>
  </r>
  <r>
    <n v="182"/>
    <s v="mrt"/>
    <s v="Mauritania"/>
    <x v="62"/>
    <x v="62"/>
  </r>
  <r>
    <n v="183"/>
    <s v="myt"/>
    <s v="Mayotte"/>
    <x v="62"/>
    <x v="62"/>
  </r>
  <r>
    <n v="184"/>
    <s v="ner"/>
    <s v="Niger"/>
    <x v="62"/>
    <x v="62"/>
  </r>
  <r>
    <n v="185"/>
    <s v="nga"/>
    <s v="Nigeria"/>
    <x v="62"/>
    <x v="62"/>
  </r>
  <r>
    <n v="186"/>
    <s v="rwa"/>
    <s v="Rwanda"/>
    <x v="62"/>
    <x v="62"/>
  </r>
  <r>
    <n v="187"/>
    <s v="stp"/>
    <s v="Sao Tome &amp; Principe"/>
    <x v="62"/>
    <x v="62"/>
  </r>
  <r>
    <n v="188"/>
    <s v="sen"/>
    <s v="Senegal"/>
    <x v="62"/>
    <x v="62"/>
  </r>
  <r>
    <n v="189"/>
    <s v="syc"/>
    <s v="Seychelles Islands"/>
    <x v="62"/>
    <x v="62"/>
  </r>
  <r>
    <n v="190"/>
    <s v="sle"/>
    <s v="Sierra Leone"/>
    <x v="62"/>
    <x v="62"/>
  </r>
  <r>
    <n v="191"/>
    <s v="som"/>
    <s v="Somalia"/>
    <x v="62"/>
    <x v="62"/>
  </r>
  <r>
    <n v="192"/>
    <s v="sdn"/>
    <s v="Sudan"/>
    <x v="62"/>
    <x v="62"/>
  </r>
  <r>
    <n v="193"/>
    <s v="tgo"/>
    <s v="Togo"/>
    <x v="62"/>
    <x v="62"/>
  </r>
  <r>
    <n v="194"/>
    <s v="uga"/>
    <s v="Uganda"/>
    <x v="63"/>
    <x v="63"/>
  </r>
  <r>
    <n v="195"/>
    <s v="ado"/>
    <s v="Andorra"/>
    <x v="64"/>
    <x v="64"/>
  </r>
  <r>
    <n v="196"/>
    <s v="bmu"/>
    <s v="Bermuda"/>
    <x v="64"/>
    <x v="64"/>
  </r>
  <r>
    <n v="197"/>
    <s v="bih"/>
    <s v="Bosnia and Herzegovina"/>
    <x v="64"/>
    <x v="64"/>
  </r>
  <r>
    <n v="198"/>
    <s v="iot"/>
    <s v="British Indian Ocean Territories"/>
    <x v="64"/>
    <x v="64"/>
  </r>
  <r>
    <n v="199"/>
    <s v="brn"/>
    <s v="Brunei"/>
    <x v="64"/>
    <x v="64"/>
  </r>
  <r>
    <n v="200"/>
    <s v="khm"/>
    <s v="Cambodia"/>
    <x v="64"/>
    <x v="64"/>
  </r>
  <r>
    <n v="201"/>
    <s v="cxr"/>
    <s v="Christmas Island"/>
    <x v="64"/>
    <x v="64"/>
  </r>
  <r>
    <n v="202"/>
    <s v="cck"/>
    <s v="Cocos (Keeling) Island"/>
    <x v="64"/>
    <x v="64"/>
  </r>
  <r>
    <n v="203"/>
    <s v="cok"/>
    <s v="Cook Islands"/>
    <x v="64"/>
    <x v="64"/>
  </r>
  <r>
    <n v="204"/>
    <s v="hrv"/>
    <s v="Croatia"/>
    <x v="64"/>
    <x v="64"/>
  </r>
  <r>
    <n v="205"/>
    <s v="cyp"/>
    <s v="Cyprus"/>
    <x v="64"/>
    <x v="64"/>
  </r>
  <r>
    <n v="206"/>
    <s v="flk"/>
    <s v="Falkland Islands"/>
    <x v="64"/>
    <x v="64"/>
  </r>
  <r>
    <n v="207"/>
    <s v="fro"/>
    <s v="Faroe Islands"/>
    <x v="64"/>
    <x v="64"/>
  </r>
  <r>
    <n v="208"/>
    <s v="fji"/>
    <s v="Fiji"/>
    <x v="64"/>
    <x v="64"/>
  </r>
  <r>
    <n v="209"/>
    <s v="pyf"/>
    <s v="French Polynesia"/>
    <x v="64"/>
    <x v="64"/>
  </r>
  <r>
    <n v="210"/>
    <s v="grl"/>
    <s v="Greenland"/>
    <x v="64"/>
    <x v="64"/>
  </r>
  <r>
    <n v="211"/>
    <s v="jtn"/>
    <s v="Johnston Island"/>
    <x v="64"/>
    <x v="64"/>
  </r>
  <r>
    <n v="212"/>
    <s v="kir"/>
    <s v="Kiribati"/>
    <x v="64"/>
    <x v="64"/>
  </r>
  <r>
    <n v="213"/>
    <s v="lao"/>
    <s v="Laos"/>
    <x v="64"/>
    <x v="64"/>
  </r>
  <r>
    <n v="214"/>
    <s v="mac"/>
    <s v="Macao"/>
    <x v="64"/>
    <x v="64"/>
  </r>
  <r>
    <n v="215"/>
    <s v="mkd"/>
    <s v="Macedonia, former Yugoslav Republic of"/>
    <x v="64"/>
    <x v="64"/>
  </r>
  <r>
    <n v="216"/>
    <s v="mlt"/>
    <s v="Malta"/>
    <x v="64"/>
    <x v="64"/>
  </r>
  <r>
    <n v="217"/>
    <s v="mhl"/>
    <s v="Marshall Islands"/>
    <x v="64"/>
    <x v="64"/>
  </r>
  <r>
    <n v="218"/>
    <s v="fsm"/>
    <s v="Federated States of Micronesia"/>
    <x v="64"/>
    <x v="64"/>
  </r>
  <r>
    <n v="219"/>
    <s v="mng"/>
    <s v="Mongolia"/>
    <x v="64"/>
    <x v="64"/>
  </r>
  <r>
    <n v="220"/>
    <s v="mmr"/>
    <s v="Myanmar"/>
    <x v="64"/>
    <x v="64"/>
  </r>
  <r>
    <n v="221"/>
    <s v="nau"/>
    <s v="Nauru"/>
    <x v="64"/>
    <x v="64"/>
  </r>
  <r>
    <n v="222"/>
    <s v="ncl"/>
    <s v="New Caledonia"/>
    <x v="64"/>
    <x v="64"/>
  </r>
  <r>
    <n v="223"/>
    <s v="niu"/>
    <s v="Niue"/>
    <x v="64"/>
    <x v="64"/>
  </r>
  <r>
    <n v="224"/>
    <s v="prk"/>
    <s v="North Korea"/>
    <x v="64"/>
    <x v="64"/>
  </r>
  <r>
    <n v="225"/>
    <s v="pce"/>
    <s v="Pacific Islands"/>
    <x v="64"/>
    <x v="64"/>
  </r>
  <r>
    <n v="226"/>
    <s v="plw"/>
    <s v="Palua"/>
    <x v="64"/>
    <x v="64"/>
  </r>
  <r>
    <n v="227"/>
    <s v="png"/>
    <s v="Papua New Guinea"/>
    <x v="64"/>
    <x v="64"/>
  </r>
  <r>
    <n v="228"/>
    <s v="pcn"/>
    <s v="Pitcairn Islands"/>
    <x v="64"/>
    <x v="64"/>
  </r>
  <r>
    <n v="229"/>
    <s v="shn"/>
    <s v="Saint Helena"/>
    <x v="64"/>
    <x v="64"/>
  </r>
  <r>
    <n v="230"/>
    <s v="slb"/>
    <s v="Solomon Islands"/>
    <x v="64"/>
    <x v="64"/>
  </r>
  <r>
    <n v="231"/>
    <s v="tkl"/>
    <s v="Tokelau"/>
    <x v="64"/>
    <x v="64"/>
  </r>
  <r>
    <n v="232"/>
    <s v="ton"/>
    <s v="Tonga"/>
    <x v="64"/>
    <x v="64"/>
  </r>
  <r>
    <n v="233"/>
    <s v="tuv"/>
    <s v="Tuvalu"/>
    <x v="64"/>
    <x v="64"/>
  </r>
  <r>
    <n v="234"/>
    <s v="vut"/>
    <s v="Vanuatu"/>
    <x v="64"/>
    <x v="64"/>
  </r>
  <r>
    <n v="235"/>
    <s v="wak"/>
    <s v="Wake Island"/>
    <x v="64"/>
    <x v="64"/>
  </r>
  <r>
    <n v="236"/>
    <s v="wlf"/>
    <s v="Wallis and Futura Islands"/>
    <x v="64"/>
    <x v="64"/>
  </r>
  <r>
    <n v="237"/>
    <s v="wsm"/>
    <s v="Western Samoa"/>
    <x v="64"/>
    <x v="64"/>
  </r>
  <r>
    <n v="238"/>
    <s v="yug"/>
    <s v="Yugoslavia (Serbia and Montenegro)"/>
    <x v="64"/>
    <x v="6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3" cacheId="79" dataOnRows="1" applyNumberFormats="0" applyBorderFormats="0" applyFontFormats="0" applyPatternFormats="0" applyAlignmentFormats="0" applyWidthHeightFormats="1" dataCaption="Data" showItems="0" showMultipleLabel="0" showMemberPropertyTips="0" rowGrandTotals="0" colGrandTotals="0" itemPrintTitles="1" indent="0" compact="0" compactData="0" gridDropZones="1">
  <location ref="L1:N67" firstHeaderRow="2" firstDataRow="2" firstDataCol="2"/>
  <pivotFields count="5">
    <pivotField dataField="1" compact="0" outline="0" subtotalTop="0" showAll="0" includeNewItemsInFilter="1"/>
    <pivotField compact="0" outline="0" subtotalTop="0" showAll="0" includeNewItemsInFilter="1"/>
    <pivotField compact="0" outline="0" subtotalTop="0" showAll="0" includeNewItemsInFilter="1"/>
    <pivotField axis="axisRow" compact="0" outline="0" subtotalTop="0" showAll="0" includeNewItemsInFilter="1" defaultSubtotal="0">
      <items count="80">
        <item x="25"/>
        <item x="0"/>
        <item x="35"/>
        <item x="15"/>
        <item x="26"/>
        <item x="54"/>
        <item x="17"/>
        <item x="45"/>
        <item x="27"/>
        <item x="10"/>
        <item x="22"/>
        <item x="31"/>
        <item x="32"/>
        <item x="43"/>
        <item x="34"/>
        <item x="37"/>
        <item x="30"/>
        <item x="38"/>
        <item x="11"/>
        <item x="47"/>
        <item x="4"/>
        <item x="13"/>
        <item x="40"/>
        <item x="39"/>
        <item x="2"/>
        <item x="3"/>
        <item x="14"/>
        <item x="52"/>
        <item x="19"/>
        <item x="58"/>
        <item x="57"/>
        <item x="5"/>
        <item x="41"/>
        <item x="1"/>
        <item x="24"/>
        <item x="6"/>
        <item x="48"/>
        <item x="42"/>
        <item x="7"/>
        <item x="33"/>
        <item x="8"/>
        <item x="50"/>
        <item x="12"/>
        <item x="59"/>
        <item x="63"/>
        <item x="28"/>
        <item x="18"/>
        <item x="21"/>
        <item x="9"/>
        <item x="23"/>
        <item x="36"/>
        <item x="46"/>
        <item x="20"/>
        <item x="44"/>
        <item x="51"/>
        <item x="53"/>
        <item x="64"/>
        <item x="16"/>
        <item x="55"/>
        <item x="56"/>
        <item x="29"/>
        <item x="62"/>
        <item x="49"/>
        <item x="60"/>
        <item x="61"/>
        <item m="1" x="65"/>
        <item m="1" x="66"/>
        <item m="1" x="67"/>
        <item m="1" x="68"/>
        <item m="1" x="69"/>
        <item m="1" x="70"/>
        <item m="1" x="71"/>
        <item m="1" x="72"/>
        <item m="1" x="73"/>
        <item m="1" x="74"/>
        <item m="1" x="75"/>
        <item m="1" x="76"/>
        <item m="1" x="77"/>
        <item m="1" x="78"/>
        <item m="1" x="79"/>
      </items>
    </pivotField>
    <pivotField axis="axisRow" compact="0" outline="0" subtotalTop="0" showAll="0" includeNewItemsInFilter="1" defaultSubtotal="0">
      <items count="69">
        <item x="25"/>
        <item x="0"/>
        <item x="26"/>
        <item x="17"/>
        <item x="20"/>
        <item m="1" x="65"/>
        <item x="27"/>
        <item x="10"/>
        <item x="22"/>
        <item x="32"/>
        <item m="1" x="66"/>
        <item x="34"/>
        <item x="49"/>
        <item x="31"/>
        <item x="30"/>
        <item x="11"/>
        <item x="13"/>
        <item x="4"/>
        <item x="2"/>
        <item x="3"/>
        <item x="5"/>
        <item x="19"/>
        <item x="52"/>
        <item x="1"/>
        <item x="6"/>
        <item x="53"/>
        <item x="29"/>
        <item x="16"/>
        <item x="56"/>
        <item x="62"/>
        <item x="23"/>
        <item m="1" x="67"/>
        <item x="51"/>
        <item x="64"/>
        <item x="7"/>
        <item m="1" x="68"/>
        <item x="14"/>
        <item x="33"/>
        <item x="12"/>
        <item x="8"/>
        <item x="50"/>
        <item x="18"/>
        <item x="28"/>
        <item x="21"/>
        <item x="9"/>
        <item x="24"/>
        <item x="35"/>
        <item x="36"/>
        <item x="37"/>
        <item x="38"/>
        <item x="39"/>
        <item x="40"/>
        <item x="41"/>
        <item x="42"/>
        <item x="43"/>
        <item x="44"/>
        <item x="45"/>
        <item x="46"/>
        <item x="47"/>
        <item x="48"/>
        <item x="54"/>
        <item x="55"/>
        <item x="57"/>
        <item x="58"/>
        <item x="59"/>
        <item x="60"/>
        <item x="61"/>
        <item x="63"/>
        <item x="15"/>
      </items>
    </pivotField>
  </pivotFields>
  <rowFields count="2">
    <field x="3"/>
    <field x="4"/>
  </rowFields>
  <rowItems count="65">
    <i>
      <x/>
      <x/>
    </i>
    <i>
      <x v="1"/>
      <x v="1"/>
    </i>
    <i>
      <x v="2"/>
      <x v="46"/>
    </i>
    <i>
      <x v="3"/>
      <x v="68"/>
    </i>
    <i>
      <x v="4"/>
      <x v="2"/>
    </i>
    <i>
      <x v="5"/>
      <x v="60"/>
    </i>
    <i>
      <x v="6"/>
      <x v="3"/>
    </i>
    <i>
      <x v="7"/>
      <x v="56"/>
    </i>
    <i>
      <x v="8"/>
      <x v="6"/>
    </i>
    <i>
      <x v="9"/>
      <x v="7"/>
    </i>
    <i>
      <x v="10"/>
      <x v="8"/>
    </i>
    <i>
      <x v="11"/>
      <x v="13"/>
    </i>
    <i>
      <x v="12"/>
      <x v="9"/>
    </i>
    <i>
      <x v="13"/>
      <x v="54"/>
    </i>
    <i>
      <x v="14"/>
      <x v="11"/>
    </i>
    <i>
      <x v="15"/>
      <x v="48"/>
    </i>
    <i>
      <x v="16"/>
      <x v="14"/>
    </i>
    <i>
      <x v="17"/>
      <x v="49"/>
    </i>
    <i>
      <x v="18"/>
      <x v="15"/>
    </i>
    <i>
      <x v="19"/>
      <x v="58"/>
    </i>
    <i>
      <x v="20"/>
      <x v="17"/>
    </i>
    <i>
      <x v="21"/>
      <x v="16"/>
    </i>
    <i>
      <x v="22"/>
      <x v="51"/>
    </i>
    <i>
      <x v="23"/>
      <x v="50"/>
    </i>
    <i>
      <x v="24"/>
      <x v="18"/>
    </i>
    <i>
      <x v="25"/>
      <x v="19"/>
    </i>
    <i>
      <x v="26"/>
      <x v="36"/>
    </i>
    <i>
      <x v="27"/>
      <x v="22"/>
    </i>
    <i>
      <x v="28"/>
      <x v="21"/>
    </i>
    <i>
      <x v="29"/>
      <x v="63"/>
    </i>
    <i>
      <x v="30"/>
      <x v="62"/>
    </i>
    <i>
      <x v="31"/>
      <x v="20"/>
    </i>
    <i>
      <x v="32"/>
      <x v="52"/>
    </i>
    <i>
      <x v="33"/>
      <x v="23"/>
    </i>
    <i>
      <x v="34"/>
      <x v="45"/>
    </i>
    <i>
      <x v="35"/>
      <x v="24"/>
    </i>
    <i>
      <x v="36"/>
      <x v="59"/>
    </i>
    <i>
      <x v="37"/>
      <x v="53"/>
    </i>
    <i>
      <x v="38"/>
      <x v="34"/>
    </i>
    <i>
      <x v="39"/>
      <x v="37"/>
    </i>
    <i>
      <x v="40"/>
      <x v="39"/>
    </i>
    <i>
      <x v="41"/>
      <x v="40"/>
    </i>
    <i>
      <x v="42"/>
      <x v="38"/>
    </i>
    <i>
      <x v="43"/>
      <x v="64"/>
    </i>
    <i>
      <x v="44"/>
      <x v="67"/>
    </i>
    <i>
      <x v="45"/>
      <x v="42"/>
    </i>
    <i>
      <x v="46"/>
      <x v="41"/>
    </i>
    <i>
      <x v="47"/>
      <x v="43"/>
    </i>
    <i>
      <x v="48"/>
      <x v="44"/>
    </i>
    <i>
      <x v="49"/>
      <x v="30"/>
    </i>
    <i>
      <x v="50"/>
      <x v="47"/>
    </i>
    <i>
      <x v="51"/>
      <x v="57"/>
    </i>
    <i>
      <x v="52"/>
      <x v="4"/>
    </i>
    <i>
      <x v="53"/>
      <x v="55"/>
    </i>
    <i>
      <x v="54"/>
      <x v="32"/>
    </i>
    <i>
      <x v="55"/>
      <x v="25"/>
    </i>
    <i>
      <x v="56"/>
      <x v="33"/>
    </i>
    <i>
      <x v="57"/>
      <x v="27"/>
    </i>
    <i>
      <x v="58"/>
      <x v="61"/>
    </i>
    <i>
      <x v="59"/>
      <x v="28"/>
    </i>
    <i>
      <x v="60"/>
      <x v="26"/>
    </i>
    <i>
      <x v="61"/>
      <x v="29"/>
    </i>
    <i>
      <x v="62"/>
      <x v="12"/>
    </i>
    <i>
      <x v="63"/>
      <x v="65"/>
    </i>
    <i>
      <x v="64"/>
      <x v="66"/>
    </i>
  </rowItems>
  <colItems count="1">
    <i/>
  </colItems>
  <dataFields count="1">
    <dataField name="Count of Seq" fld="0" subtotal="count" baseField="0" baseItem="0"/>
  </dataFields>
  <pivotTableStyleInfo showRowHeaders="1" showColHeaders="1" showRowStripes="0" showColStripes="0" showLastColumn="1"/>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oleObject" Target="../embeddings/Microsoft_Word_97_-_2004_Document1.doc"/><Relationship Id="rId4" Type="http://schemas.openxmlformats.org/officeDocument/2006/relationships/image" Target="../media/image1.emf"/><Relationship Id="rId1" Type="http://schemas.openxmlformats.org/officeDocument/2006/relationships/drawing" Target="../drawings/drawing1.xml"/><Relationship Id="rId2"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2.vml"/><Relationship Id="rId2"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vmlDrawing" Target="../drawings/vmlDrawing3.vml"/><Relationship Id="rId2"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4" Type="http://schemas.openxmlformats.org/officeDocument/2006/relationships/ctrlProp" Target="../ctrlProps/ctrlProp2.xml"/><Relationship Id="rId5" Type="http://schemas.openxmlformats.org/officeDocument/2006/relationships/ctrlProp" Target="../ctrlProps/ctrlProp3.xml"/><Relationship Id="rId6" Type="http://schemas.openxmlformats.org/officeDocument/2006/relationships/ctrlProp" Target="../ctrlProps/ctrlProp4.xml"/><Relationship Id="rId7" Type="http://schemas.openxmlformats.org/officeDocument/2006/relationships/ctrlProp" Target="../ctrlProps/ctrlProp5.xml"/><Relationship Id="rId8" Type="http://schemas.openxmlformats.org/officeDocument/2006/relationships/ctrlProp" Target="../ctrlProps/ctrlProp6.xml"/><Relationship Id="rId1" Type="http://schemas.openxmlformats.org/officeDocument/2006/relationships/drawing" Target="../drawings/drawing2.xml"/><Relationship Id="rId2"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1" Type="http://schemas.openxmlformats.org/officeDocument/2006/relationships/vmlDrawing" Target="../drawings/vmlDrawing5.vml"/><Relationship Id="rId2"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dimension ref="A1:R3316"/>
  <sheetViews>
    <sheetView topLeftCell="E1" zoomScale="75" workbookViewId="0">
      <selection activeCell="K1" sqref="K1"/>
    </sheetView>
  </sheetViews>
  <sheetFormatPr baseColWidth="10" defaultColWidth="8.83203125" defaultRowHeight="12" x14ac:dyDescent="0"/>
  <cols>
    <col min="10" max="10" width="29.6640625" bestFit="1" customWidth="1"/>
    <col min="11" max="11" width="3.83203125" style="92" customWidth="1"/>
    <col min="12" max="12" width="8.83203125" style="92" customWidth="1"/>
    <col min="13" max="13" width="39.5" style="92" bestFit="1" customWidth="1"/>
    <col min="14" max="14" width="8.83203125" style="92" customWidth="1"/>
  </cols>
  <sheetData>
    <row r="1" spans="1:18">
      <c r="A1" t="s">
        <v>0</v>
      </c>
      <c r="B1" t="s">
        <v>1</v>
      </c>
      <c r="C1" t="s">
        <v>2</v>
      </c>
      <c r="D1" t="s">
        <v>3</v>
      </c>
      <c r="F1" t="s">
        <v>187</v>
      </c>
      <c r="G1" t="s">
        <v>188</v>
      </c>
      <c r="H1" t="s">
        <v>189</v>
      </c>
      <c r="I1" t="s">
        <v>190</v>
      </c>
      <c r="J1" t="s">
        <v>191</v>
      </c>
      <c r="L1" s="93" t="s">
        <v>651</v>
      </c>
      <c r="M1" s="94"/>
      <c r="N1" s="95"/>
    </row>
    <row r="2" spans="1:18">
      <c r="A2" t="s">
        <v>18</v>
      </c>
      <c r="B2" t="s">
        <v>678</v>
      </c>
      <c r="C2" t="s">
        <v>678</v>
      </c>
      <c r="D2" s="1">
        <v>2984.2065699999998</v>
      </c>
      <c r="F2">
        <v>1</v>
      </c>
      <c r="G2" t="s">
        <v>18</v>
      </c>
      <c r="H2" t="s">
        <v>192</v>
      </c>
      <c r="I2" t="s">
        <v>18</v>
      </c>
      <c r="J2" t="s">
        <v>192</v>
      </c>
      <c r="L2" s="93" t="s">
        <v>190</v>
      </c>
      <c r="M2" s="93" t="s">
        <v>191</v>
      </c>
      <c r="N2" s="95" t="s">
        <v>652</v>
      </c>
      <c r="P2" t="s">
        <v>811</v>
      </c>
      <c r="Q2" t="s">
        <v>809</v>
      </c>
      <c r="R2" t="s">
        <v>810</v>
      </c>
    </row>
    <row r="3" spans="1:18">
      <c r="A3" t="s">
        <v>18</v>
      </c>
      <c r="B3" t="s">
        <v>10</v>
      </c>
      <c r="C3" t="s">
        <v>678</v>
      </c>
      <c r="D3" s="1">
        <v>10909.326999999999</v>
      </c>
      <c r="F3">
        <v>2</v>
      </c>
      <c r="G3" t="s">
        <v>193</v>
      </c>
      <c r="H3" t="s">
        <v>194</v>
      </c>
      <c r="I3" t="s">
        <v>18</v>
      </c>
      <c r="J3" t="s">
        <v>192</v>
      </c>
      <c r="K3" s="92">
        <v>1</v>
      </c>
      <c r="L3" s="90" t="s">
        <v>4</v>
      </c>
      <c r="M3" s="90" t="s">
        <v>307</v>
      </c>
      <c r="N3" s="96">
        <v>1</v>
      </c>
      <c r="P3" t="s">
        <v>4</v>
      </c>
      <c r="Q3">
        <v>35672000</v>
      </c>
      <c r="R3">
        <v>1.46</v>
      </c>
    </row>
    <row r="4" spans="1:18">
      <c r="A4" t="s">
        <v>18</v>
      </c>
      <c r="B4" t="s">
        <v>678</v>
      </c>
      <c r="C4" t="s">
        <v>10</v>
      </c>
      <c r="D4" s="1">
        <v>13520.179</v>
      </c>
      <c r="F4">
        <v>3</v>
      </c>
      <c r="G4" t="s">
        <v>195</v>
      </c>
      <c r="H4" t="s">
        <v>196</v>
      </c>
      <c r="I4" t="s">
        <v>18</v>
      </c>
      <c r="J4" t="s">
        <v>192</v>
      </c>
      <c r="K4" s="92">
        <f>K3+1</f>
        <v>2</v>
      </c>
      <c r="L4" s="90" t="s">
        <v>18</v>
      </c>
      <c r="M4" s="90" t="s">
        <v>192</v>
      </c>
      <c r="N4" s="96">
        <v>3</v>
      </c>
      <c r="P4" t="s">
        <v>18</v>
      </c>
      <c r="Q4">
        <v>18532200</v>
      </c>
      <c r="R4">
        <v>1.01</v>
      </c>
    </row>
    <row r="5" spans="1:18">
      <c r="A5" t="s">
        <v>18</v>
      </c>
      <c r="B5" t="s">
        <v>10</v>
      </c>
      <c r="C5" t="s">
        <v>10</v>
      </c>
      <c r="D5" s="1">
        <v>295695.07</v>
      </c>
      <c r="E5" s="1"/>
      <c r="F5">
        <v>4</v>
      </c>
      <c r="G5" t="s">
        <v>37</v>
      </c>
      <c r="H5" t="s">
        <v>197</v>
      </c>
      <c r="I5" t="s">
        <v>37</v>
      </c>
      <c r="J5" t="s">
        <v>197</v>
      </c>
      <c r="K5" s="92">
        <f t="shared" ref="K5:K67" si="0">K4+1</f>
        <v>3</v>
      </c>
      <c r="L5" s="90" t="s">
        <v>328</v>
      </c>
      <c r="M5" s="90" t="s">
        <v>329</v>
      </c>
      <c r="N5" s="96">
        <v>1</v>
      </c>
      <c r="P5" t="s">
        <v>328</v>
      </c>
      <c r="Q5">
        <v>8072180</v>
      </c>
      <c r="R5">
        <v>0.9</v>
      </c>
    </row>
    <row r="6" spans="1:18">
      <c r="A6" t="s">
        <v>18</v>
      </c>
      <c r="B6" t="s">
        <v>11</v>
      </c>
      <c r="C6" t="s">
        <v>678</v>
      </c>
      <c r="D6" s="1">
        <v>787.77678948000005</v>
      </c>
      <c r="F6">
        <v>5</v>
      </c>
      <c r="G6" t="s">
        <v>31</v>
      </c>
      <c r="H6" t="s">
        <v>198</v>
      </c>
      <c r="I6" t="s">
        <v>31</v>
      </c>
      <c r="J6" t="s">
        <v>198</v>
      </c>
      <c r="K6" s="92">
        <f t="shared" si="0"/>
        <v>4</v>
      </c>
      <c r="L6" s="90" t="s">
        <v>215</v>
      </c>
      <c r="M6" s="90" t="s">
        <v>216</v>
      </c>
      <c r="N6" s="96">
        <v>1</v>
      </c>
      <c r="P6" t="s">
        <v>215</v>
      </c>
      <c r="Q6">
        <v>123632560</v>
      </c>
      <c r="R6">
        <v>4.0199999999999996</v>
      </c>
    </row>
    <row r="7" spans="1:18">
      <c r="A7" t="s">
        <v>18</v>
      </c>
      <c r="B7" t="s">
        <v>11</v>
      </c>
      <c r="C7" t="s">
        <v>10</v>
      </c>
      <c r="D7" s="1">
        <v>7938.1554930000002</v>
      </c>
      <c r="F7">
        <v>6</v>
      </c>
      <c r="G7" t="s">
        <v>32</v>
      </c>
      <c r="H7" t="s">
        <v>199</v>
      </c>
      <c r="I7" t="s">
        <v>32</v>
      </c>
      <c r="J7" t="s">
        <v>200</v>
      </c>
      <c r="K7" s="92">
        <f t="shared" si="0"/>
        <v>5</v>
      </c>
      <c r="L7" s="90" t="s">
        <v>19</v>
      </c>
      <c r="M7" s="90" t="s">
        <v>308</v>
      </c>
      <c r="N7" s="96">
        <v>1</v>
      </c>
      <c r="P7" t="s">
        <v>19</v>
      </c>
      <c r="Q7">
        <v>163689184</v>
      </c>
      <c r="R7">
        <v>1.36</v>
      </c>
    </row>
    <row r="8" spans="1:18">
      <c r="A8" t="s">
        <v>18</v>
      </c>
      <c r="B8" t="s">
        <v>678</v>
      </c>
      <c r="C8" t="s">
        <v>6</v>
      </c>
      <c r="D8" s="1">
        <v>3628.8820999999998</v>
      </c>
      <c r="F8">
        <v>7</v>
      </c>
      <c r="G8" t="s">
        <v>29</v>
      </c>
      <c r="H8" t="s">
        <v>201</v>
      </c>
      <c r="I8" t="s">
        <v>29</v>
      </c>
      <c r="J8" t="s">
        <v>201</v>
      </c>
      <c r="K8" s="92">
        <f t="shared" si="0"/>
        <v>6</v>
      </c>
      <c r="L8" s="90" t="s">
        <v>462</v>
      </c>
      <c r="M8" s="90" t="s">
        <v>463</v>
      </c>
      <c r="N8" s="96">
        <v>1</v>
      </c>
      <c r="P8" t="s">
        <v>462</v>
      </c>
      <c r="Q8">
        <v>1533000</v>
      </c>
      <c r="R8">
        <v>1.86</v>
      </c>
    </row>
    <row r="9" spans="1:18">
      <c r="A9" t="s">
        <v>18</v>
      </c>
      <c r="B9" t="s">
        <v>10</v>
      </c>
      <c r="C9" t="s">
        <v>6</v>
      </c>
      <c r="D9">
        <v>219373.26</v>
      </c>
      <c r="E9" s="1"/>
      <c r="F9">
        <v>8</v>
      </c>
      <c r="G9" t="s">
        <v>202</v>
      </c>
      <c r="H9" t="s">
        <v>203</v>
      </c>
      <c r="I9" t="s">
        <v>29</v>
      </c>
      <c r="J9" t="s">
        <v>201</v>
      </c>
      <c r="K9" s="92">
        <f t="shared" si="0"/>
        <v>7</v>
      </c>
      <c r="L9" s="90" t="s">
        <v>20</v>
      </c>
      <c r="M9" s="90" t="s">
        <v>226</v>
      </c>
      <c r="N9" s="96">
        <v>1</v>
      </c>
      <c r="P9" t="s">
        <v>20</v>
      </c>
      <c r="Q9">
        <v>30011000</v>
      </c>
      <c r="R9">
        <v>1.17</v>
      </c>
    </row>
    <row r="10" spans="1:18">
      <c r="A10" t="s">
        <v>18</v>
      </c>
      <c r="B10" t="s">
        <v>11</v>
      </c>
      <c r="C10" t="s">
        <v>6</v>
      </c>
      <c r="D10">
        <v>17436.917013999999</v>
      </c>
      <c r="F10">
        <v>9</v>
      </c>
      <c r="G10" t="s">
        <v>36</v>
      </c>
      <c r="H10" t="s">
        <v>204</v>
      </c>
      <c r="I10" t="s">
        <v>36</v>
      </c>
      <c r="J10" t="s">
        <v>204</v>
      </c>
      <c r="K10" s="92">
        <f t="shared" si="0"/>
        <v>8</v>
      </c>
      <c r="L10" s="90" t="s">
        <v>373</v>
      </c>
      <c r="M10" s="90" t="s">
        <v>374</v>
      </c>
      <c r="N10" s="96">
        <v>1</v>
      </c>
      <c r="P10" t="s">
        <v>373</v>
      </c>
      <c r="Q10">
        <v>7088000</v>
      </c>
      <c r="R10">
        <v>0.71</v>
      </c>
    </row>
    <row r="11" spans="1:18">
      <c r="A11" t="s">
        <v>18</v>
      </c>
      <c r="B11" t="s">
        <v>678</v>
      </c>
      <c r="C11" t="s">
        <v>8</v>
      </c>
      <c r="D11">
        <v>408.11466059999998</v>
      </c>
      <c r="F11">
        <v>10</v>
      </c>
      <c r="G11" t="s">
        <v>38</v>
      </c>
      <c r="H11" t="s">
        <v>205</v>
      </c>
      <c r="I11" t="s">
        <v>38</v>
      </c>
      <c r="J11" t="s">
        <v>205</v>
      </c>
      <c r="K11" s="92">
        <f t="shared" si="0"/>
        <v>9</v>
      </c>
      <c r="L11" s="90" t="s">
        <v>21</v>
      </c>
      <c r="M11" s="90" t="s">
        <v>309</v>
      </c>
      <c r="N11" s="96">
        <v>1</v>
      </c>
      <c r="P11" t="s">
        <v>21</v>
      </c>
      <c r="Q11">
        <v>14622000</v>
      </c>
      <c r="R11">
        <v>1.75</v>
      </c>
    </row>
    <row r="12" spans="1:18">
      <c r="A12" t="s">
        <v>18</v>
      </c>
      <c r="B12" t="s">
        <v>10</v>
      </c>
      <c r="C12" t="s">
        <v>8</v>
      </c>
      <c r="D12">
        <v>66931.176032999996</v>
      </c>
      <c r="F12">
        <v>11</v>
      </c>
      <c r="G12" t="s">
        <v>40</v>
      </c>
      <c r="H12" t="s">
        <v>206</v>
      </c>
      <c r="I12" t="s">
        <v>40</v>
      </c>
      <c r="J12" t="s">
        <v>206</v>
      </c>
      <c r="K12" s="92">
        <f t="shared" si="0"/>
        <v>10</v>
      </c>
      <c r="L12" s="90" t="s">
        <v>22</v>
      </c>
      <c r="M12" s="90" t="s">
        <v>210</v>
      </c>
      <c r="N12" s="96">
        <v>1</v>
      </c>
      <c r="P12" t="s">
        <v>22</v>
      </c>
      <c r="Q12">
        <v>1227176700</v>
      </c>
      <c r="R12">
        <v>4.08</v>
      </c>
    </row>
    <row r="13" spans="1:18">
      <c r="A13" t="s">
        <v>18</v>
      </c>
      <c r="B13" t="s">
        <v>11</v>
      </c>
      <c r="C13" t="s">
        <v>8</v>
      </c>
      <c r="D13">
        <v>0</v>
      </c>
      <c r="F13">
        <v>12</v>
      </c>
      <c r="G13" t="s">
        <v>42</v>
      </c>
      <c r="H13" t="s">
        <v>207</v>
      </c>
      <c r="I13" t="s">
        <v>42</v>
      </c>
      <c r="J13" t="s">
        <v>207</v>
      </c>
      <c r="K13" s="92">
        <f t="shared" si="0"/>
        <v>11</v>
      </c>
      <c r="L13" s="90" t="s">
        <v>23</v>
      </c>
      <c r="M13" s="90" t="s">
        <v>299</v>
      </c>
      <c r="N13" s="96">
        <v>1</v>
      </c>
      <c r="P13" t="s">
        <v>23</v>
      </c>
      <c r="Q13">
        <v>40042000</v>
      </c>
      <c r="R13">
        <v>2.31</v>
      </c>
    </row>
    <row r="14" spans="1:18">
      <c r="A14" t="s">
        <v>18</v>
      </c>
      <c r="B14" t="s">
        <v>678</v>
      </c>
      <c r="C14" t="s">
        <v>15</v>
      </c>
      <c r="D14">
        <v>31.40579</v>
      </c>
      <c r="F14">
        <v>13</v>
      </c>
      <c r="G14" t="s">
        <v>48</v>
      </c>
      <c r="H14" t="s">
        <v>208</v>
      </c>
      <c r="I14" t="s">
        <v>48</v>
      </c>
      <c r="J14" t="s">
        <v>209</v>
      </c>
      <c r="K14" s="92">
        <f t="shared" si="0"/>
        <v>12</v>
      </c>
      <c r="L14" s="90" t="s">
        <v>24</v>
      </c>
      <c r="M14" s="90" t="s">
        <v>324</v>
      </c>
      <c r="N14" s="96">
        <v>1</v>
      </c>
      <c r="P14" t="s">
        <v>24</v>
      </c>
      <c r="Q14">
        <v>82071000</v>
      </c>
      <c r="R14">
        <v>0.87</v>
      </c>
    </row>
    <row r="15" spans="1:18">
      <c r="A15" t="s">
        <v>18</v>
      </c>
      <c r="B15" t="s">
        <v>10</v>
      </c>
      <c r="C15" t="s">
        <v>15</v>
      </c>
      <c r="D15">
        <v>83691.509999999995</v>
      </c>
      <c r="F15">
        <v>14</v>
      </c>
      <c r="G15" t="s">
        <v>22</v>
      </c>
      <c r="H15" t="s">
        <v>210</v>
      </c>
      <c r="I15" t="s">
        <v>22</v>
      </c>
      <c r="J15" t="s">
        <v>210</v>
      </c>
      <c r="K15" s="92">
        <f t="shared" si="0"/>
        <v>13</v>
      </c>
      <c r="L15" s="90" t="s">
        <v>25</v>
      </c>
      <c r="M15" s="90" t="s">
        <v>325</v>
      </c>
      <c r="N15" s="96">
        <v>1</v>
      </c>
      <c r="P15" t="s">
        <v>25</v>
      </c>
      <c r="Q15">
        <v>5284220</v>
      </c>
      <c r="R15">
        <v>0.75</v>
      </c>
    </row>
    <row r="16" spans="1:18">
      <c r="A16" t="s">
        <v>18</v>
      </c>
      <c r="B16" t="s">
        <v>11</v>
      </c>
      <c r="C16" t="s">
        <v>15</v>
      </c>
      <c r="D16">
        <v>2468.3449999999998</v>
      </c>
      <c r="F16">
        <v>15</v>
      </c>
      <c r="G16" t="s">
        <v>28</v>
      </c>
      <c r="H16" t="s">
        <v>211</v>
      </c>
      <c r="I16" t="s">
        <v>28</v>
      </c>
      <c r="J16" t="s">
        <v>211</v>
      </c>
      <c r="K16" s="92">
        <f t="shared" si="0"/>
        <v>14</v>
      </c>
      <c r="L16" s="90" t="s">
        <v>361</v>
      </c>
      <c r="M16" s="90" t="s">
        <v>362</v>
      </c>
      <c r="N16" s="96">
        <v>1</v>
      </c>
      <c r="P16" t="s">
        <v>361</v>
      </c>
      <c r="Q16">
        <v>39323000</v>
      </c>
      <c r="R16">
        <v>1.18</v>
      </c>
    </row>
    <row r="17" spans="1:18">
      <c r="A17" t="s">
        <v>18</v>
      </c>
      <c r="B17" t="s">
        <v>8</v>
      </c>
      <c r="C17" t="s">
        <v>11</v>
      </c>
      <c r="D17">
        <v>28631.19429648</v>
      </c>
      <c r="F17">
        <v>16</v>
      </c>
      <c r="G17" t="s">
        <v>44</v>
      </c>
      <c r="H17" t="s">
        <v>212</v>
      </c>
      <c r="I17" t="s">
        <v>44</v>
      </c>
      <c r="J17" t="s">
        <v>212</v>
      </c>
      <c r="K17" s="92">
        <f t="shared" si="0"/>
        <v>15</v>
      </c>
      <c r="L17" s="90" t="s">
        <v>26</v>
      </c>
      <c r="M17" s="90" t="s">
        <v>327</v>
      </c>
      <c r="N17" s="96">
        <v>1</v>
      </c>
      <c r="P17" t="s">
        <v>26</v>
      </c>
      <c r="Q17">
        <v>5139840</v>
      </c>
      <c r="R17">
        <v>0.88</v>
      </c>
    </row>
    <row r="18" spans="1:18">
      <c r="A18" t="s">
        <v>18</v>
      </c>
      <c r="B18" t="s">
        <v>678</v>
      </c>
      <c r="C18" t="s">
        <v>7</v>
      </c>
      <c r="D18">
        <v>1.8822879779999999</v>
      </c>
      <c r="F18">
        <v>17</v>
      </c>
      <c r="G18" t="s">
        <v>30</v>
      </c>
      <c r="H18" t="s">
        <v>213</v>
      </c>
      <c r="I18" t="s">
        <v>30</v>
      </c>
      <c r="J18" t="s">
        <v>213</v>
      </c>
      <c r="K18" s="92">
        <f t="shared" si="0"/>
        <v>16</v>
      </c>
      <c r="L18" s="90" t="s">
        <v>332</v>
      </c>
      <c r="M18" s="90" t="s">
        <v>333</v>
      </c>
      <c r="N18" s="96">
        <v>6</v>
      </c>
      <c r="P18" t="s">
        <v>332</v>
      </c>
      <c r="Q18">
        <v>58607072</v>
      </c>
      <c r="R18">
        <v>0.89</v>
      </c>
    </row>
    <row r="19" spans="1:18">
      <c r="A19" t="s">
        <v>18</v>
      </c>
      <c r="B19" t="s">
        <v>10</v>
      </c>
      <c r="C19" t="s">
        <v>7</v>
      </c>
      <c r="D19">
        <v>460.55363964100002</v>
      </c>
      <c r="F19">
        <v>18</v>
      </c>
      <c r="G19" t="s">
        <v>33</v>
      </c>
      <c r="H19" t="s">
        <v>214</v>
      </c>
      <c r="I19" t="s">
        <v>33</v>
      </c>
      <c r="J19" t="s">
        <v>214</v>
      </c>
      <c r="K19" s="92">
        <f t="shared" si="0"/>
        <v>17</v>
      </c>
      <c r="L19" s="90" t="s">
        <v>27</v>
      </c>
      <c r="M19" s="90" t="s">
        <v>320</v>
      </c>
      <c r="N19" s="96">
        <v>4</v>
      </c>
      <c r="P19" t="s">
        <v>27</v>
      </c>
      <c r="Q19">
        <v>59009000</v>
      </c>
      <c r="R19">
        <v>0.94</v>
      </c>
    </row>
    <row r="20" spans="1:18">
      <c r="A20" t="s">
        <v>18</v>
      </c>
      <c r="B20" t="s">
        <v>7</v>
      </c>
      <c r="C20" t="s">
        <v>8</v>
      </c>
      <c r="D20">
        <v>462.43592761899998</v>
      </c>
      <c r="F20">
        <v>19</v>
      </c>
      <c r="G20" t="s">
        <v>215</v>
      </c>
      <c r="H20" t="s">
        <v>216</v>
      </c>
      <c r="I20" t="s">
        <v>215</v>
      </c>
      <c r="J20" t="s">
        <v>216</v>
      </c>
      <c r="K20" s="92">
        <f t="shared" si="0"/>
        <v>18</v>
      </c>
      <c r="L20" s="90" t="s">
        <v>338</v>
      </c>
      <c r="M20" s="90" t="s">
        <v>339</v>
      </c>
      <c r="N20" s="96">
        <v>1</v>
      </c>
      <c r="P20" t="s">
        <v>338</v>
      </c>
      <c r="Q20">
        <v>10497000</v>
      </c>
      <c r="R20">
        <v>1.21</v>
      </c>
    </row>
    <row r="21" spans="1:18">
      <c r="A21" t="s">
        <v>18</v>
      </c>
      <c r="B21" t="s">
        <v>678</v>
      </c>
      <c r="C21" t="s">
        <v>16</v>
      </c>
      <c r="D21">
        <v>8053.0373736499996</v>
      </c>
      <c r="F21">
        <v>20</v>
      </c>
      <c r="G21" t="s">
        <v>218</v>
      </c>
      <c r="H21" t="s">
        <v>219</v>
      </c>
      <c r="I21" t="s">
        <v>791</v>
      </c>
      <c r="J21" t="s">
        <v>217</v>
      </c>
      <c r="K21" s="92">
        <f t="shared" si="0"/>
        <v>19</v>
      </c>
      <c r="L21" s="90" t="s">
        <v>28</v>
      </c>
      <c r="M21" s="90" t="s">
        <v>211</v>
      </c>
      <c r="N21" s="96">
        <v>1</v>
      </c>
      <c r="P21" t="s">
        <v>28</v>
      </c>
      <c r="Q21">
        <v>6502000</v>
      </c>
      <c r="R21">
        <v>0.86</v>
      </c>
    </row>
    <row r="22" spans="1:18">
      <c r="A22" t="s">
        <v>18</v>
      </c>
      <c r="B22" t="s">
        <v>10</v>
      </c>
      <c r="C22" t="s">
        <v>16</v>
      </c>
      <c r="D22">
        <v>60068.311203557001</v>
      </c>
      <c r="F22">
        <v>21</v>
      </c>
      <c r="G22" t="s">
        <v>220</v>
      </c>
      <c r="H22" t="s">
        <v>221</v>
      </c>
      <c r="I22" t="s">
        <v>791</v>
      </c>
      <c r="J22" t="s">
        <v>217</v>
      </c>
      <c r="K22" s="92">
        <f t="shared" si="0"/>
        <v>20</v>
      </c>
      <c r="L22" s="90" t="s">
        <v>379</v>
      </c>
      <c r="M22" s="90" t="s">
        <v>380</v>
      </c>
      <c r="N22" s="96">
        <v>1</v>
      </c>
      <c r="P22" t="s">
        <v>379</v>
      </c>
      <c r="Q22">
        <v>10154900</v>
      </c>
      <c r="R22">
        <v>2.2000000000000002</v>
      </c>
    </row>
    <row r="23" spans="1:18">
      <c r="A23" t="s">
        <v>18</v>
      </c>
      <c r="B23" t="s">
        <v>678</v>
      </c>
      <c r="C23" t="s">
        <v>17</v>
      </c>
      <c r="D23">
        <v>0</v>
      </c>
      <c r="F23">
        <v>22</v>
      </c>
      <c r="G23" t="s">
        <v>222</v>
      </c>
      <c r="H23" t="s">
        <v>223</v>
      </c>
      <c r="I23" t="s">
        <v>791</v>
      </c>
      <c r="J23" t="s">
        <v>217</v>
      </c>
      <c r="K23" s="92">
        <f t="shared" si="0"/>
        <v>21</v>
      </c>
      <c r="L23" s="90" t="s">
        <v>29</v>
      </c>
      <c r="M23" s="90" t="s">
        <v>201</v>
      </c>
      <c r="N23" s="96">
        <v>2</v>
      </c>
      <c r="P23" t="s">
        <v>29</v>
      </c>
      <c r="Q23">
        <v>200390288</v>
      </c>
      <c r="R23">
        <v>2.87</v>
      </c>
    </row>
    <row r="24" spans="1:18">
      <c r="A24" t="s">
        <v>18</v>
      </c>
      <c r="B24" t="s">
        <v>10</v>
      </c>
      <c r="C24" t="s">
        <v>17</v>
      </c>
      <c r="D24">
        <v>1094.9880000000001</v>
      </c>
      <c r="F24">
        <v>23</v>
      </c>
      <c r="G24" t="s">
        <v>224</v>
      </c>
      <c r="H24" t="s">
        <v>225</v>
      </c>
      <c r="I24" t="s">
        <v>791</v>
      </c>
      <c r="J24" t="s">
        <v>217</v>
      </c>
      <c r="K24" s="92">
        <f t="shared" si="0"/>
        <v>22</v>
      </c>
      <c r="L24" s="90" t="s">
        <v>30</v>
      </c>
      <c r="M24" s="90" t="s">
        <v>213</v>
      </c>
      <c r="N24" s="96">
        <v>1</v>
      </c>
      <c r="P24" t="s">
        <v>30</v>
      </c>
      <c r="Q24">
        <v>962377664</v>
      </c>
      <c r="R24">
        <v>4.66</v>
      </c>
    </row>
    <row r="25" spans="1:18">
      <c r="A25" t="s">
        <v>18</v>
      </c>
      <c r="B25" t="s">
        <v>17</v>
      </c>
      <c r="C25" t="s">
        <v>16</v>
      </c>
      <c r="D25">
        <v>1094.9880000000001</v>
      </c>
      <c r="F25">
        <v>24</v>
      </c>
      <c r="G25" t="s">
        <v>20</v>
      </c>
      <c r="H25" t="s">
        <v>226</v>
      </c>
      <c r="I25" t="s">
        <v>20</v>
      </c>
      <c r="J25" t="s">
        <v>226</v>
      </c>
      <c r="K25" s="92">
        <f t="shared" si="0"/>
        <v>23</v>
      </c>
      <c r="L25" s="90" t="s">
        <v>344</v>
      </c>
      <c r="M25" s="90" t="s">
        <v>345</v>
      </c>
      <c r="N25" s="96">
        <v>1</v>
      </c>
      <c r="P25" t="s">
        <v>344</v>
      </c>
      <c r="Q25">
        <v>3661000</v>
      </c>
      <c r="R25">
        <v>0.97</v>
      </c>
    </row>
    <row r="26" spans="1:18">
      <c r="A26" t="s">
        <v>18</v>
      </c>
      <c r="B26" t="s">
        <v>14</v>
      </c>
      <c r="C26" t="s">
        <v>678</v>
      </c>
      <c r="D26">
        <v>6655.0870000000004</v>
      </c>
      <c r="F26">
        <v>25</v>
      </c>
      <c r="G26" t="s">
        <v>227</v>
      </c>
      <c r="H26" t="s">
        <v>228</v>
      </c>
      <c r="I26" t="s">
        <v>46</v>
      </c>
      <c r="J26" t="s">
        <v>229</v>
      </c>
      <c r="K26" s="92">
        <f t="shared" si="0"/>
        <v>24</v>
      </c>
      <c r="L26" s="90" t="s">
        <v>346</v>
      </c>
      <c r="M26" s="90" t="s">
        <v>347</v>
      </c>
      <c r="N26" s="96">
        <v>3</v>
      </c>
      <c r="P26" t="s">
        <v>346</v>
      </c>
      <c r="Q26">
        <v>57523000</v>
      </c>
      <c r="R26">
        <v>1.04</v>
      </c>
    </row>
    <row r="27" spans="1:18">
      <c r="A27" t="s">
        <v>18</v>
      </c>
      <c r="B27" t="s">
        <v>14</v>
      </c>
      <c r="C27" t="s">
        <v>10</v>
      </c>
      <c r="D27">
        <v>168041.5</v>
      </c>
      <c r="E27" s="1"/>
      <c r="F27">
        <v>26</v>
      </c>
      <c r="G27" t="s">
        <v>230</v>
      </c>
      <c r="H27" t="s">
        <v>231</v>
      </c>
      <c r="I27" t="s">
        <v>46</v>
      </c>
      <c r="J27" t="s">
        <v>229</v>
      </c>
      <c r="K27" s="92">
        <f t="shared" si="0"/>
        <v>25</v>
      </c>
      <c r="L27" s="90" t="s">
        <v>31</v>
      </c>
      <c r="M27" s="90" t="s">
        <v>198</v>
      </c>
      <c r="N27" s="96">
        <v>1</v>
      </c>
      <c r="P27" t="s">
        <v>31</v>
      </c>
      <c r="Q27">
        <v>126091000</v>
      </c>
      <c r="R27">
        <v>0.74</v>
      </c>
    </row>
    <row r="28" spans="1:18">
      <c r="A28" t="s">
        <v>18</v>
      </c>
      <c r="B28" t="s">
        <v>6</v>
      </c>
      <c r="C28" t="s">
        <v>14</v>
      </c>
      <c r="D28">
        <v>174696.587</v>
      </c>
      <c r="E28" s="1"/>
      <c r="F28">
        <v>27</v>
      </c>
      <c r="G28" t="s">
        <v>232</v>
      </c>
      <c r="H28" t="s">
        <v>233</v>
      </c>
      <c r="I28" t="s">
        <v>46</v>
      </c>
      <c r="J28" t="s">
        <v>229</v>
      </c>
      <c r="K28" s="92">
        <f t="shared" si="0"/>
        <v>26</v>
      </c>
      <c r="L28" s="90" t="s">
        <v>32</v>
      </c>
      <c r="M28" s="90" t="s">
        <v>200</v>
      </c>
      <c r="N28" s="96">
        <v>1</v>
      </c>
      <c r="P28" t="s">
        <v>32</v>
      </c>
      <c r="Q28">
        <v>45991000</v>
      </c>
      <c r="R28">
        <v>1.43</v>
      </c>
    </row>
    <row r="29" spans="1:18">
      <c r="A29" t="s">
        <v>18</v>
      </c>
      <c r="B29" t="s">
        <v>8</v>
      </c>
      <c r="C29" t="s">
        <v>14</v>
      </c>
      <c r="D29">
        <v>0</v>
      </c>
      <c r="F29">
        <v>28</v>
      </c>
      <c r="G29" t="s">
        <v>234</v>
      </c>
      <c r="H29" t="s">
        <v>235</v>
      </c>
      <c r="I29" t="s">
        <v>46</v>
      </c>
      <c r="J29" t="s">
        <v>229</v>
      </c>
      <c r="K29" s="92">
        <f t="shared" si="0"/>
        <v>27</v>
      </c>
      <c r="L29" s="90" t="s">
        <v>33</v>
      </c>
      <c r="M29" s="90" t="s">
        <v>214</v>
      </c>
      <c r="N29" s="96">
        <v>1</v>
      </c>
      <c r="P29" t="s">
        <v>33</v>
      </c>
      <c r="Q29">
        <v>18552000</v>
      </c>
      <c r="R29">
        <v>3.62</v>
      </c>
    </row>
    <row r="30" spans="1:18">
      <c r="A30" t="s">
        <v>18</v>
      </c>
      <c r="B30" t="s">
        <v>9</v>
      </c>
      <c r="C30" t="s">
        <v>678</v>
      </c>
      <c r="D30">
        <v>2924.3719000000001</v>
      </c>
      <c r="F30">
        <v>29</v>
      </c>
      <c r="G30" t="s">
        <v>236</v>
      </c>
      <c r="H30" t="s">
        <v>237</v>
      </c>
      <c r="I30" t="s">
        <v>46</v>
      </c>
      <c r="J30" t="s">
        <v>229</v>
      </c>
      <c r="K30" s="92">
        <f t="shared" si="0"/>
        <v>28</v>
      </c>
      <c r="L30" s="90" t="s">
        <v>34</v>
      </c>
      <c r="M30" s="90" t="s">
        <v>450</v>
      </c>
      <c r="N30" s="96">
        <v>2</v>
      </c>
      <c r="P30" t="s">
        <v>34</v>
      </c>
      <c r="Q30">
        <v>27310000</v>
      </c>
      <c r="R30">
        <v>2.64</v>
      </c>
    </row>
    <row r="31" spans="1:18">
      <c r="A31" t="s">
        <v>18</v>
      </c>
      <c r="B31" t="s">
        <v>9</v>
      </c>
      <c r="C31" t="s">
        <v>10</v>
      </c>
      <c r="D31">
        <v>4633.7389999999996</v>
      </c>
      <c r="F31">
        <v>30</v>
      </c>
      <c r="G31" t="s">
        <v>46</v>
      </c>
      <c r="H31" t="s">
        <v>238</v>
      </c>
      <c r="I31" t="s">
        <v>46</v>
      </c>
      <c r="J31" t="s">
        <v>229</v>
      </c>
      <c r="K31" s="92">
        <f t="shared" si="0"/>
        <v>29</v>
      </c>
      <c r="L31" s="90" t="s">
        <v>35</v>
      </c>
      <c r="M31" s="90" t="s">
        <v>239</v>
      </c>
      <c r="N31" s="96">
        <v>1</v>
      </c>
      <c r="P31" t="s">
        <v>35</v>
      </c>
      <c r="Q31">
        <v>94280280</v>
      </c>
      <c r="R31">
        <v>2</v>
      </c>
    </row>
    <row r="32" spans="1:18">
      <c r="A32" t="s">
        <v>18</v>
      </c>
      <c r="B32" t="s">
        <v>6</v>
      </c>
      <c r="C32" t="s">
        <v>9</v>
      </c>
      <c r="D32">
        <v>7558.1108999999997</v>
      </c>
      <c r="F32">
        <v>31</v>
      </c>
      <c r="G32" t="s">
        <v>35</v>
      </c>
      <c r="H32" t="s">
        <v>239</v>
      </c>
      <c r="I32" t="s">
        <v>35</v>
      </c>
      <c r="J32" t="s">
        <v>239</v>
      </c>
      <c r="K32" s="92">
        <f t="shared" si="0"/>
        <v>30</v>
      </c>
      <c r="L32" s="90" t="s">
        <v>479</v>
      </c>
      <c r="M32" s="90" t="s">
        <v>480</v>
      </c>
      <c r="N32" s="96">
        <v>1</v>
      </c>
      <c r="P32" t="s">
        <v>479</v>
      </c>
      <c r="Q32">
        <v>16630000</v>
      </c>
      <c r="R32">
        <v>3.52</v>
      </c>
    </row>
    <row r="33" spans="1:18">
      <c r="A33" t="s">
        <v>18</v>
      </c>
      <c r="B33" t="s">
        <v>13</v>
      </c>
      <c r="C33" t="s">
        <v>678</v>
      </c>
      <c r="D33">
        <v>3610.2170000000001</v>
      </c>
      <c r="F33">
        <v>32</v>
      </c>
      <c r="G33" t="s">
        <v>240</v>
      </c>
      <c r="H33" t="s">
        <v>241</v>
      </c>
      <c r="I33" t="s">
        <v>792</v>
      </c>
      <c r="J33" t="s">
        <v>242</v>
      </c>
      <c r="K33" s="92">
        <f t="shared" si="0"/>
        <v>31</v>
      </c>
      <c r="L33" s="90" t="s">
        <v>475</v>
      </c>
      <c r="M33" s="90" t="s">
        <v>476</v>
      </c>
      <c r="N33" s="96">
        <v>1</v>
      </c>
      <c r="P33" t="s">
        <v>475</v>
      </c>
      <c r="Q33">
        <v>10276090</v>
      </c>
      <c r="R33">
        <v>2.31</v>
      </c>
    </row>
    <row r="34" spans="1:18">
      <c r="A34" t="s">
        <v>18</v>
      </c>
      <c r="B34" t="s">
        <v>13</v>
      </c>
      <c r="C34" t="s">
        <v>10</v>
      </c>
      <c r="D34">
        <v>151526.6</v>
      </c>
      <c r="E34" s="1"/>
      <c r="F34">
        <v>33</v>
      </c>
      <c r="G34" t="s">
        <v>243</v>
      </c>
      <c r="H34" t="s">
        <v>244</v>
      </c>
      <c r="I34" t="s">
        <v>792</v>
      </c>
      <c r="J34" t="s">
        <v>242</v>
      </c>
      <c r="K34" s="92">
        <f t="shared" si="0"/>
        <v>32</v>
      </c>
      <c r="L34" s="90" t="s">
        <v>36</v>
      </c>
      <c r="M34" s="90" t="s">
        <v>204</v>
      </c>
      <c r="N34" s="96">
        <v>1</v>
      </c>
      <c r="P34" t="s">
        <v>36</v>
      </c>
      <c r="Q34">
        <v>21667000</v>
      </c>
      <c r="R34">
        <v>1.95</v>
      </c>
    </row>
    <row r="35" spans="1:18">
      <c r="A35" t="s">
        <v>18</v>
      </c>
      <c r="B35" t="s">
        <v>6</v>
      </c>
      <c r="C35" t="s">
        <v>13</v>
      </c>
      <c r="D35">
        <v>155136.81700000001</v>
      </c>
      <c r="E35" s="1"/>
      <c r="F35">
        <v>34</v>
      </c>
      <c r="G35" t="s">
        <v>245</v>
      </c>
      <c r="H35" t="s">
        <v>246</v>
      </c>
      <c r="I35" t="s">
        <v>792</v>
      </c>
      <c r="J35" t="s">
        <v>242</v>
      </c>
      <c r="K35" s="92">
        <f t="shared" si="0"/>
        <v>33</v>
      </c>
      <c r="L35" s="90" t="s">
        <v>354</v>
      </c>
      <c r="M35" s="90" t="s">
        <v>355</v>
      </c>
      <c r="N35" s="96">
        <v>1</v>
      </c>
      <c r="P35" t="s">
        <v>354</v>
      </c>
      <c r="Q35">
        <v>15607000</v>
      </c>
      <c r="R35">
        <v>0.94</v>
      </c>
    </row>
    <row r="36" spans="1:18">
      <c r="A36" t="s">
        <v>18</v>
      </c>
      <c r="B36" t="s">
        <v>8</v>
      </c>
      <c r="C36" t="s">
        <v>678</v>
      </c>
      <c r="D36">
        <v>-334.03522785199999</v>
      </c>
      <c r="F36">
        <v>35</v>
      </c>
      <c r="G36" t="s">
        <v>247</v>
      </c>
      <c r="H36" t="s">
        <v>248</v>
      </c>
      <c r="I36" t="s">
        <v>792</v>
      </c>
      <c r="J36" t="s">
        <v>242</v>
      </c>
      <c r="K36" s="92">
        <f t="shared" si="0"/>
        <v>34</v>
      </c>
      <c r="L36" s="90" t="s">
        <v>37</v>
      </c>
      <c r="M36" s="90" t="s">
        <v>197</v>
      </c>
      <c r="N36" s="96">
        <v>1</v>
      </c>
      <c r="P36" t="s">
        <v>37</v>
      </c>
      <c r="Q36">
        <v>3761100</v>
      </c>
      <c r="R36">
        <v>1.04</v>
      </c>
    </row>
    <row r="37" spans="1:18">
      <c r="A37" t="s">
        <v>18</v>
      </c>
      <c r="B37" t="s">
        <v>8</v>
      </c>
      <c r="C37" t="s">
        <v>10</v>
      </c>
      <c r="D37">
        <v>16348.314350197999</v>
      </c>
      <c r="E37" s="1"/>
      <c r="F37">
        <v>36</v>
      </c>
      <c r="G37" t="s">
        <v>249</v>
      </c>
      <c r="H37" t="s">
        <v>250</v>
      </c>
      <c r="I37" t="s">
        <v>792</v>
      </c>
      <c r="J37" t="s">
        <v>242</v>
      </c>
      <c r="K37" s="92">
        <f t="shared" si="0"/>
        <v>35</v>
      </c>
      <c r="L37" s="90" t="s">
        <v>305</v>
      </c>
      <c r="M37" s="90" t="s">
        <v>306</v>
      </c>
      <c r="N37" s="96">
        <v>1</v>
      </c>
      <c r="P37" t="s">
        <v>305</v>
      </c>
      <c r="Q37">
        <v>24371000</v>
      </c>
      <c r="R37">
        <v>1.72</v>
      </c>
    </row>
    <row r="38" spans="1:18">
      <c r="A38" t="s">
        <v>18</v>
      </c>
      <c r="B38" t="s">
        <v>12</v>
      </c>
      <c r="C38" t="s">
        <v>678</v>
      </c>
      <c r="D38">
        <v>31.231894695000001</v>
      </c>
      <c r="F38">
        <v>37</v>
      </c>
      <c r="G38" t="s">
        <v>251</v>
      </c>
      <c r="H38" t="s">
        <v>252</v>
      </c>
      <c r="I38" t="s">
        <v>792</v>
      </c>
      <c r="J38" t="s">
        <v>242</v>
      </c>
      <c r="K38" s="92">
        <f t="shared" si="0"/>
        <v>36</v>
      </c>
      <c r="L38" s="90" t="s">
        <v>38</v>
      </c>
      <c r="M38" s="90" t="s">
        <v>205</v>
      </c>
      <c r="N38" s="96">
        <v>1</v>
      </c>
      <c r="P38" t="s">
        <v>38</v>
      </c>
      <c r="Q38">
        <v>73527000</v>
      </c>
      <c r="R38">
        <v>3.34</v>
      </c>
    </row>
    <row r="39" spans="1:18">
      <c r="A39" t="s">
        <v>18</v>
      </c>
      <c r="B39" t="s">
        <v>12</v>
      </c>
      <c r="C39" t="s">
        <v>10</v>
      </c>
      <c r="D39">
        <v>5172.3699208400003</v>
      </c>
      <c r="F39">
        <v>38</v>
      </c>
      <c r="G39" t="s">
        <v>253</v>
      </c>
      <c r="H39" t="s">
        <v>254</v>
      </c>
      <c r="I39" t="s">
        <v>792</v>
      </c>
      <c r="J39" t="s">
        <v>242</v>
      </c>
      <c r="K39" s="92">
        <f t="shared" si="0"/>
        <v>37</v>
      </c>
      <c r="L39" s="90" t="s">
        <v>381</v>
      </c>
      <c r="M39" s="90" t="s">
        <v>382</v>
      </c>
      <c r="N39" s="96">
        <v>1</v>
      </c>
      <c r="P39" t="s">
        <v>381</v>
      </c>
      <c r="Q39">
        <v>38650000</v>
      </c>
      <c r="R39">
        <v>2.0099999999999998</v>
      </c>
    </row>
    <row r="40" spans="1:18">
      <c r="A40" t="s">
        <v>18</v>
      </c>
      <c r="B40" t="s">
        <v>8</v>
      </c>
      <c r="C40" t="s">
        <v>12</v>
      </c>
      <c r="D40">
        <v>5203.6018155350002</v>
      </c>
      <c r="F40">
        <v>39</v>
      </c>
      <c r="G40" t="s">
        <v>255</v>
      </c>
      <c r="H40" t="s">
        <v>256</v>
      </c>
      <c r="I40" t="s">
        <v>792</v>
      </c>
      <c r="J40" t="s">
        <v>242</v>
      </c>
      <c r="K40" s="92">
        <f t="shared" si="0"/>
        <v>38</v>
      </c>
      <c r="L40" s="90" t="s">
        <v>356</v>
      </c>
      <c r="M40" s="90" t="s">
        <v>357</v>
      </c>
      <c r="N40" s="96">
        <v>1</v>
      </c>
      <c r="P40" t="s">
        <v>356</v>
      </c>
      <c r="Q40">
        <v>9945000</v>
      </c>
      <c r="R40">
        <v>1.42</v>
      </c>
    </row>
    <row r="41" spans="1:18">
      <c r="A41" t="s">
        <v>18</v>
      </c>
      <c r="B41" t="s">
        <v>16</v>
      </c>
      <c r="C41" t="s">
        <v>678</v>
      </c>
      <c r="D41">
        <v>1059.524813212</v>
      </c>
      <c r="F41">
        <v>40</v>
      </c>
      <c r="G41" t="s">
        <v>257</v>
      </c>
      <c r="H41" t="s">
        <v>258</v>
      </c>
      <c r="I41" t="s">
        <v>792</v>
      </c>
      <c r="J41" t="s">
        <v>242</v>
      </c>
      <c r="K41" s="92">
        <f t="shared" si="0"/>
        <v>39</v>
      </c>
      <c r="L41" s="90" t="s">
        <v>40</v>
      </c>
      <c r="M41" s="90" t="s">
        <v>206</v>
      </c>
      <c r="N41" s="96">
        <v>1</v>
      </c>
      <c r="P41" t="s">
        <v>40</v>
      </c>
      <c r="Q41">
        <v>3103500</v>
      </c>
      <c r="R41">
        <v>0.81</v>
      </c>
    </row>
    <row r="42" spans="1:18">
      <c r="A42" t="s">
        <v>18</v>
      </c>
      <c r="B42" t="s">
        <v>16</v>
      </c>
      <c r="C42" t="s">
        <v>10</v>
      </c>
      <c r="D42">
        <v>75348.268768786002</v>
      </c>
      <c r="F42">
        <v>41</v>
      </c>
      <c r="G42" t="s">
        <v>259</v>
      </c>
      <c r="H42" t="s">
        <v>260</v>
      </c>
      <c r="I42" t="s">
        <v>792</v>
      </c>
      <c r="J42" t="s">
        <v>242</v>
      </c>
      <c r="K42" s="92">
        <f t="shared" si="0"/>
        <v>40</v>
      </c>
      <c r="L42" s="90" t="s">
        <v>41</v>
      </c>
      <c r="M42" s="90" t="s">
        <v>326</v>
      </c>
      <c r="N42" s="96">
        <v>1</v>
      </c>
      <c r="P42" t="s">
        <v>41</v>
      </c>
      <c r="Q42">
        <v>8849440</v>
      </c>
      <c r="R42">
        <v>0.8</v>
      </c>
    </row>
    <row r="43" spans="1:18">
      <c r="A43" t="s">
        <v>18</v>
      </c>
      <c r="B43" t="s">
        <v>790</v>
      </c>
      <c r="C43" t="s">
        <v>678</v>
      </c>
      <c r="D43">
        <v>0</v>
      </c>
      <c r="F43">
        <v>42</v>
      </c>
      <c r="G43" t="s">
        <v>261</v>
      </c>
      <c r="H43" t="s">
        <v>262</v>
      </c>
      <c r="I43" t="s">
        <v>792</v>
      </c>
      <c r="J43" t="s">
        <v>242</v>
      </c>
      <c r="K43" s="92">
        <f t="shared" si="0"/>
        <v>41</v>
      </c>
      <c r="L43" s="90" t="s">
        <v>42</v>
      </c>
      <c r="M43" s="90" t="s">
        <v>207</v>
      </c>
      <c r="N43" s="96">
        <v>1</v>
      </c>
      <c r="P43" t="s">
        <v>42</v>
      </c>
      <c r="Q43">
        <v>60602000</v>
      </c>
      <c r="R43">
        <v>2.5099999999999998</v>
      </c>
    </row>
    <row r="44" spans="1:18">
      <c r="A44" t="s">
        <v>18</v>
      </c>
      <c r="B44" t="s">
        <v>790</v>
      </c>
      <c r="C44" t="s">
        <v>10</v>
      </c>
      <c r="D44">
        <v>0</v>
      </c>
      <c r="F44">
        <v>43</v>
      </c>
      <c r="G44" t="s">
        <v>263</v>
      </c>
      <c r="H44" t="s">
        <v>264</v>
      </c>
      <c r="I44" t="s">
        <v>792</v>
      </c>
      <c r="J44" t="s">
        <v>242</v>
      </c>
      <c r="K44" s="92">
        <f t="shared" si="0"/>
        <v>42</v>
      </c>
      <c r="L44" s="90" t="s">
        <v>43</v>
      </c>
      <c r="M44" s="90" t="s">
        <v>420</v>
      </c>
      <c r="N44" s="96">
        <v>1</v>
      </c>
      <c r="P44" t="s">
        <v>43</v>
      </c>
      <c r="Q44">
        <v>62510000</v>
      </c>
      <c r="R44">
        <v>2.12</v>
      </c>
    </row>
    <row r="45" spans="1:18">
      <c r="A45" t="s">
        <v>18</v>
      </c>
      <c r="B45" t="s">
        <v>8</v>
      </c>
      <c r="C45" t="s">
        <v>790</v>
      </c>
      <c r="D45">
        <v>0</v>
      </c>
      <c r="F45">
        <v>44</v>
      </c>
      <c r="G45" t="s">
        <v>265</v>
      </c>
      <c r="H45" t="s">
        <v>266</v>
      </c>
      <c r="I45" t="s">
        <v>792</v>
      </c>
      <c r="J45" t="s">
        <v>242</v>
      </c>
      <c r="K45" s="92">
        <f t="shared" si="0"/>
        <v>43</v>
      </c>
      <c r="L45" s="90" t="s">
        <v>44</v>
      </c>
      <c r="M45" s="90" t="s">
        <v>212</v>
      </c>
      <c r="N45" s="96">
        <v>1</v>
      </c>
      <c r="P45" t="s">
        <v>44</v>
      </c>
      <c r="Q45">
        <v>21670000</v>
      </c>
      <c r="R45">
        <v>1.2</v>
      </c>
    </row>
    <row r="46" spans="1:18">
      <c r="A46" t="s">
        <v>18</v>
      </c>
      <c r="B46" t="s">
        <v>8</v>
      </c>
      <c r="C46" t="s">
        <v>6</v>
      </c>
      <c r="D46">
        <v>17952.665786000001</v>
      </c>
      <c r="F46">
        <v>45</v>
      </c>
      <c r="G46" t="s">
        <v>267</v>
      </c>
      <c r="H46" t="s">
        <v>268</v>
      </c>
      <c r="I46" t="s">
        <v>792</v>
      </c>
      <c r="J46" t="s">
        <v>242</v>
      </c>
      <c r="K46" s="92">
        <f t="shared" si="0"/>
        <v>44</v>
      </c>
      <c r="L46" s="90" t="s">
        <v>481</v>
      </c>
      <c r="M46" s="90" t="s">
        <v>482</v>
      </c>
      <c r="N46" s="96">
        <v>1</v>
      </c>
      <c r="P46" t="s">
        <v>481</v>
      </c>
      <c r="Q46">
        <v>31316100</v>
      </c>
      <c r="R46">
        <v>2.11</v>
      </c>
    </row>
    <row r="47" spans="1:18">
      <c r="A47" t="s">
        <v>18</v>
      </c>
      <c r="B47" t="s">
        <v>15</v>
      </c>
      <c r="C47" t="s">
        <v>6</v>
      </c>
      <c r="D47">
        <v>36400.339999999997</v>
      </c>
      <c r="F47">
        <v>46</v>
      </c>
      <c r="G47" t="s">
        <v>269</v>
      </c>
      <c r="H47" t="s">
        <v>270</v>
      </c>
      <c r="I47" t="s">
        <v>792</v>
      </c>
      <c r="J47" t="s">
        <v>242</v>
      </c>
      <c r="K47" s="92">
        <f t="shared" si="0"/>
        <v>45</v>
      </c>
      <c r="L47" s="90" t="s">
        <v>560</v>
      </c>
      <c r="M47" s="90" t="s">
        <v>561</v>
      </c>
      <c r="N47" s="96">
        <v>1</v>
      </c>
      <c r="P47" t="s">
        <v>560</v>
      </c>
      <c r="Q47">
        <v>20317610</v>
      </c>
      <c r="R47">
        <v>3.45</v>
      </c>
    </row>
    <row r="48" spans="1:18">
      <c r="A48" t="s">
        <v>18</v>
      </c>
      <c r="B48" t="s">
        <v>5</v>
      </c>
      <c r="C48" t="s">
        <v>6</v>
      </c>
      <c r="D48">
        <v>42599.45</v>
      </c>
      <c r="F48">
        <v>47</v>
      </c>
      <c r="G48" t="s">
        <v>271</v>
      </c>
      <c r="H48" t="s">
        <v>272</v>
      </c>
      <c r="I48" t="s">
        <v>792</v>
      </c>
      <c r="J48" t="s">
        <v>242</v>
      </c>
      <c r="K48" s="92">
        <f t="shared" si="0"/>
        <v>46</v>
      </c>
      <c r="L48" s="90" t="s">
        <v>45</v>
      </c>
      <c r="M48" s="90" t="s">
        <v>310</v>
      </c>
      <c r="N48" s="96">
        <v>1</v>
      </c>
      <c r="P48" t="s">
        <v>45</v>
      </c>
      <c r="Q48">
        <v>3265680</v>
      </c>
      <c r="R48">
        <v>1.41</v>
      </c>
    </row>
    <row r="49" spans="1:18">
      <c r="A49" t="s">
        <v>18</v>
      </c>
      <c r="B49" t="s">
        <v>15</v>
      </c>
      <c r="C49" t="s">
        <v>5</v>
      </c>
      <c r="D49">
        <v>42599.45</v>
      </c>
      <c r="F49">
        <v>48</v>
      </c>
      <c r="G49" t="s">
        <v>273</v>
      </c>
      <c r="H49" t="s">
        <v>274</v>
      </c>
      <c r="I49" t="s">
        <v>792</v>
      </c>
      <c r="J49" t="s">
        <v>242</v>
      </c>
      <c r="K49" s="92">
        <f t="shared" si="0"/>
        <v>47</v>
      </c>
      <c r="L49" s="90" t="s">
        <v>46</v>
      </c>
      <c r="M49" s="90" t="s">
        <v>229</v>
      </c>
      <c r="N49" s="96">
        <v>6</v>
      </c>
      <c r="P49" t="s">
        <v>46</v>
      </c>
      <c r="Q49">
        <v>267744000</v>
      </c>
      <c r="R49">
        <v>1</v>
      </c>
    </row>
    <row r="50" spans="1:18">
      <c r="A50" t="s">
        <v>18</v>
      </c>
      <c r="B50" t="s">
        <v>6</v>
      </c>
      <c r="C50" t="s">
        <v>8</v>
      </c>
      <c r="D50">
        <v>0</v>
      </c>
      <c r="F50">
        <v>49</v>
      </c>
      <c r="G50" t="s">
        <v>275</v>
      </c>
      <c r="H50" t="s">
        <v>276</v>
      </c>
      <c r="I50" t="s">
        <v>792</v>
      </c>
      <c r="J50" t="s">
        <v>242</v>
      </c>
      <c r="K50" s="92">
        <f t="shared" si="0"/>
        <v>48</v>
      </c>
      <c r="L50" s="90" t="s">
        <v>47</v>
      </c>
      <c r="M50" s="90" t="s">
        <v>297</v>
      </c>
      <c r="N50" s="96">
        <v>1</v>
      </c>
      <c r="P50" t="s">
        <v>47</v>
      </c>
      <c r="Q50">
        <v>22777000</v>
      </c>
      <c r="R50">
        <v>1.57</v>
      </c>
    </row>
    <row r="51" spans="1:18">
      <c r="A51" t="s">
        <v>18</v>
      </c>
      <c r="B51" t="s">
        <v>15</v>
      </c>
      <c r="C51" t="s">
        <v>16</v>
      </c>
      <c r="D51">
        <v>7191.4570047910001</v>
      </c>
      <c r="F51">
        <v>50</v>
      </c>
      <c r="G51" t="s">
        <v>277</v>
      </c>
      <c r="H51" t="s">
        <v>278</v>
      </c>
      <c r="I51" t="s">
        <v>792</v>
      </c>
      <c r="J51" t="s">
        <v>242</v>
      </c>
      <c r="K51" s="92">
        <f t="shared" si="0"/>
        <v>49</v>
      </c>
      <c r="L51" s="90" t="s">
        <v>48</v>
      </c>
      <c r="M51" s="90" t="s">
        <v>209</v>
      </c>
      <c r="N51" s="96">
        <v>1</v>
      </c>
      <c r="P51" t="s">
        <v>48</v>
      </c>
      <c r="Q51">
        <v>75460000</v>
      </c>
      <c r="R51">
        <v>4.74</v>
      </c>
    </row>
    <row r="52" spans="1:18">
      <c r="A52" t="s">
        <v>18</v>
      </c>
      <c r="B52" t="s">
        <v>15</v>
      </c>
      <c r="C52" t="s">
        <v>8</v>
      </c>
      <c r="D52">
        <v>1.4399142E-2</v>
      </c>
      <c r="E52" s="1"/>
      <c r="F52">
        <v>51</v>
      </c>
      <c r="G52" t="s">
        <v>279</v>
      </c>
      <c r="H52" t="s">
        <v>280</v>
      </c>
      <c r="I52" t="s">
        <v>792</v>
      </c>
      <c r="J52" t="s">
        <v>242</v>
      </c>
      <c r="K52" s="92">
        <f t="shared" si="0"/>
        <v>50</v>
      </c>
      <c r="L52" s="90" t="s">
        <v>793</v>
      </c>
      <c r="M52" s="90" t="s">
        <v>302</v>
      </c>
      <c r="N52" s="96">
        <v>2</v>
      </c>
      <c r="P52" t="s">
        <v>793</v>
      </c>
      <c r="Q52">
        <v>19704000</v>
      </c>
      <c r="R52">
        <v>2.0299999999999998</v>
      </c>
    </row>
    <row r="53" spans="1:18">
      <c r="A53" t="s">
        <v>37</v>
      </c>
      <c r="B53" t="s">
        <v>678</v>
      </c>
      <c r="C53" t="s">
        <v>678</v>
      </c>
      <c r="D53">
        <v>1998.1466600000001</v>
      </c>
      <c r="F53">
        <v>52</v>
      </c>
      <c r="G53" t="s">
        <v>281</v>
      </c>
      <c r="H53" t="s">
        <v>282</v>
      </c>
      <c r="I53" t="s">
        <v>792</v>
      </c>
      <c r="J53" t="s">
        <v>242</v>
      </c>
      <c r="K53" s="92">
        <f t="shared" si="0"/>
        <v>51</v>
      </c>
      <c r="L53" s="90" t="s">
        <v>795</v>
      </c>
      <c r="M53" s="90" t="s">
        <v>805</v>
      </c>
      <c r="N53" s="96">
        <v>2</v>
      </c>
      <c r="P53" t="s">
        <v>795</v>
      </c>
      <c r="Q53">
        <v>10602500</v>
      </c>
      <c r="R53">
        <v>0.96</v>
      </c>
    </row>
    <row r="54" spans="1:18">
      <c r="A54" t="s">
        <v>37</v>
      </c>
      <c r="B54" t="s">
        <v>10</v>
      </c>
      <c r="C54" t="s">
        <v>678</v>
      </c>
      <c r="D54">
        <v>3528.1464000000001</v>
      </c>
      <c r="F54">
        <v>53</v>
      </c>
      <c r="G54" t="s">
        <v>283</v>
      </c>
      <c r="H54" t="s">
        <v>284</v>
      </c>
      <c r="I54" t="s">
        <v>792</v>
      </c>
      <c r="J54" t="s">
        <v>242</v>
      </c>
      <c r="K54" s="92">
        <f t="shared" si="0"/>
        <v>52</v>
      </c>
      <c r="L54" s="90" t="s">
        <v>797</v>
      </c>
      <c r="M54" s="90" t="s">
        <v>807</v>
      </c>
      <c r="N54" s="96">
        <v>5</v>
      </c>
      <c r="P54" t="s">
        <v>797</v>
      </c>
      <c r="Q54">
        <v>51843430</v>
      </c>
      <c r="R54">
        <v>2.91</v>
      </c>
    </row>
    <row r="55" spans="1:18">
      <c r="A55" t="s">
        <v>37</v>
      </c>
      <c r="B55" t="s">
        <v>678</v>
      </c>
      <c r="C55" t="s">
        <v>10</v>
      </c>
      <c r="D55">
        <v>5207.4409999999998</v>
      </c>
      <c r="F55">
        <v>54</v>
      </c>
      <c r="G55" t="s">
        <v>285</v>
      </c>
      <c r="H55" t="s">
        <v>286</v>
      </c>
      <c r="I55" t="s">
        <v>792</v>
      </c>
      <c r="J55" t="s">
        <v>242</v>
      </c>
      <c r="K55" s="92">
        <f t="shared" si="0"/>
        <v>53</v>
      </c>
      <c r="L55" s="90" t="s">
        <v>792</v>
      </c>
      <c r="M55" s="90" t="s">
        <v>242</v>
      </c>
      <c r="N55" s="96">
        <v>28</v>
      </c>
      <c r="P55" t="s">
        <v>792</v>
      </c>
      <c r="Q55">
        <v>54309500</v>
      </c>
      <c r="R55">
        <v>2.2000000000000002</v>
      </c>
    </row>
    <row r="56" spans="1:18">
      <c r="A56" t="s">
        <v>37</v>
      </c>
      <c r="B56" t="s">
        <v>10</v>
      </c>
      <c r="C56" t="s">
        <v>10</v>
      </c>
      <c r="D56">
        <v>58598.201999999997</v>
      </c>
      <c r="F56">
        <v>55</v>
      </c>
      <c r="G56" t="s">
        <v>287</v>
      </c>
      <c r="H56" t="s">
        <v>288</v>
      </c>
      <c r="I56" t="s">
        <v>792</v>
      </c>
      <c r="J56" t="s">
        <v>242</v>
      </c>
      <c r="K56" s="92">
        <f t="shared" si="0"/>
        <v>54</v>
      </c>
      <c r="L56" s="90" t="s">
        <v>796</v>
      </c>
      <c r="M56" s="90" t="s">
        <v>806</v>
      </c>
      <c r="N56" s="96">
        <v>5</v>
      </c>
      <c r="P56" t="s">
        <v>796</v>
      </c>
      <c r="Q56">
        <v>4676100</v>
      </c>
      <c r="R56">
        <v>0.77</v>
      </c>
    </row>
    <row r="57" spans="1:18">
      <c r="A57" t="s">
        <v>37</v>
      </c>
      <c r="B57" t="s">
        <v>11</v>
      </c>
      <c r="C57" t="s">
        <v>678</v>
      </c>
      <c r="D57">
        <v>79.474945539000004</v>
      </c>
      <c r="F57">
        <v>56</v>
      </c>
      <c r="G57" t="s">
        <v>289</v>
      </c>
      <c r="H57" t="s">
        <v>290</v>
      </c>
      <c r="I57" t="s">
        <v>792</v>
      </c>
      <c r="J57" t="s">
        <v>242</v>
      </c>
      <c r="K57" s="92">
        <f t="shared" si="0"/>
        <v>55</v>
      </c>
      <c r="L57" s="90" t="s">
        <v>799</v>
      </c>
      <c r="M57" s="90" t="s">
        <v>423</v>
      </c>
      <c r="N57" s="96">
        <v>14</v>
      </c>
      <c r="P57" t="s">
        <v>799</v>
      </c>
      <c r="Q57">
        <v>158911740</v>
      </c>
      <c r="R57">
        <v>1.53</v>
      </c>
    </row>
    <row r="58" spans="1:18">
      <c r="A58" t="s">
        <v>37</v>
      </c>
      <c r="B58" t="s">
        <v>11</v>
      </c>
      <c r="C58" t="s">
        <v>10</v>
      </c>
      <c r="D58">
        <v>1360.74352187</v>
      </c>
      <c r="F58">
        <v>57</v>
      </c>
      <c r="G58" t="s">
        <v>291</v>
      </c>
      <c r="H58" t="s">
        <v>292</v>
      </c>
      <c r="I58" t="s">
        <v>792</v>
      </c>
      <c r="J58" t="s">
        <v>242</v>
      </c>
      <c r="K58" s="92">
        <f t="shared" si="0"/>
        <v>56</v>
      </c>
      <c r="L58" s="90" t="s">
        <v>800</v>
      </c>
      <c r="M58" s="90" t="s">
        <v>455</v>
      </c>
      <c r="N58" s="96">
        <v>4</v>
      </c>
      <c r="P58" t="s">
        <v>800</v>
      </c>
      <c r="Q58">
        <v>104050938</v>
      </c>
      <c r="R58">
        <v>2.62</v>
      </c>
    </row>
    <row r="59" spans="1:18">
      <c r="A59" t="s">
        <v>37</v>
      </c>
      <c r="B59" t="s">
        <v>678</v>
      </c>
      <c r="C59" t="s">
        <v>6</v>
      </c>
      <c r="D59">
        <v>462.23084999999998</v>
      </c>
      <c r="F59">
        <v>58</v>
      </c>
      <c r="G59" t="s">
        <v>293</v>
      </c>
      <c r="H59" t="s">
        <v>294</v>
      </c>
      <c r="I59" t="s">
        <v>792</v>
      </c>
      <c r="J59" t="s">
        <v>242</v>
      </c>
      <c r="K59" s="92">
        <f t="shared" si="0"/>
        <v>57</v>
      </c>
      <c r="L59" s="90" t="s">
        <v>804</v>
      </c>
      <c r="M59" s="90" t="s">
        <v>564</v>
      </c>
      <c r="N59" s="96">
        <v>44</v>
      </c>
      <c r="P59" t="s">
        <v>804</v>
      </c>
      <c r="Q59">
        <v>154984032</v>
      </c>
      <c r="R59">
        <v>1.02</v>
      </c>
    </row>
    <row r="60" spans="1:18">
      <c r="A60" t="s">
        <v>37</v>
      </c>
      <c r="B60" t="s">
        <v>10</v>
      </c>
      <c r="C60" t="s">
        <v>6</v>
      </c>
      <c r="D60">
        <v>34908.963000000003</v>
      </c>
      <c r="F60">
        <v>59</v>
      </c>
      <c r="G60" t="s">
        <v>295</v>
      </c>
      <c r="H60" t="s">
        <v>296</v>
      </c>
      <c r="I60" t="s">
        <v>792</v>
      </c>
      <c r="J60" t="s">
        <v>242</v>
      </c>
      <c r="K60" s="92">
        <f t="shared" si="0"/>
        <v>58</v>
      </c>
      <c r="L60" s="90" t="s">
        <v>791</v>
      </c>
      <c r="M60" s="90" t="s">
        <v>217</v>
      </c>
      <c r="N60" s="96">
        <v>4</v>
      </c>
      <c r="P60" t="s">
        <v>791</v>
      </c>
      <c r="Q60">
        <v>151771612</v>
      </c>
      <c r="R60">
        <v>3.67</v>
      </c>
    </row>
    <row r="61" spans="1:18">
      <c r="A61" t="s">
        <v>37</v>
      </c>
      <c r="B61" t="s">
        <v>11</v>
      </c>
      <c r="C61" t="s">
        <v>6</v>
      </c>
      <c r="D61">
        <v>5966.3717729999998</v>
      </c>
      <c r="F61">
        <v>60</v>
      </c>
      <c r="G61" t="s">
        <v>47</v>
      </c>
      <c r="H61" t="s">
        <v>297</v>
      </c>
      <c r="I61" t="s">
        <v>47</v>
      </c>
      <c r="J61" t="s">
        <v>297</v>
      </c>
      <c r="K61" s="92">
        <f t="shared" si="0"/>
        <v>59</v>
      </c>
      <c r="L61" s="90" t="s">
        <v>801</v>
      </c>
      <c r="M61" s="90" t="s">
        <v>808</v>
      </c>
      <c r="N61" s="96">
        <v>4</v>
      </c>
      <c r="P61" t="s">
        <v>801</v>
      </c>
      <c r="Q61">
        <v>45263778</v>
      </c>
      <c r="R61">
        <v>2.44</v>
      </c>
    </row>
    <row r="62" spans="1:18">
      <c r="A62" t="s">
        <v>37</v>
      </c>
      <c r="B62" t="s">
        <v>678</v>
      </c>
      <c r="C62" t="s">
        <v>8</v>
      </c>
      <c r="D62">
        <v>2.401093E-3</v>
      </c>
      <c r="F62">
        <v>61</v>
      </c>
      <c r="G62" t="s">
        <v>23</v>
      </c>
      <c r="H62" t="s">
        <v>298</v>
      </c>
      <c r="I62" t="s">
        <v>23</v>
      </c>
      <c r="J62" t="s">
        <v>299</v>
      </c>
      <c r="K62" s="92">
        <f t="shared" si="0"/>
        <v>60</v>
      </c>
      <c r="L62" s="90" t="s">
        <v>802</v>
      </c>
      <c r="M62" s="90" t="s">
        <v>474</v>
      </c>
      <c r="N62" s="96">
        <v>2</v>
      </c>
      <c r="P62" t="s">
        <v>802</v>
      </c>
      <c r="Q62">
        <v>12805880</v>
      </c>
      <c r="R62">
        <v>2.33</v>
      </c>
    </row>
    <row r="63" spans="1:18">
      <c r="A63" t="s">
        <v>37</v>
      </c>
      <c r="B63" t="s">
        <v>10</v>
      </c>
      <c r="C63" t="s">
        <v>8</v>
      </c>
      <c r="D63">
        <v>9899.1310129049998</v>
      </c>
      <c r="F63">
        <v>62</v>
      </c>
      <c r="G63" t="s">
        <v>300</v>
      </c>
      <c r="H63" t="s">
        <v>301</v>
      </c>
      <c r="I63" t="s">
        <v>793</v>
      </c>
      <c r="J63" t="s">
        <v>302</v>
      </c>
      <c r="K63" s="92">
        <f t="shared" si="0"/>
        <v>61</v>
      </c>
      <c r="L63" s="90" t="s">
        <v>794</v>
      </c>
      <c r="M63" s="90" t="s">
        <v>313</v>
      </c>
      <c r="N63" s="96">
        <v>3</v>
      </c>
      <c r="P63" t="s">
        <v>794</v>
      </c>
      <c r="Q63">
        <v>6338950</v>
      </c>
      <c r="R63">
        <v>2.52</v>
      </c>
    </row>
    <row r="64" spans="1:18">
      <c r="A64" t="s">
        <v>37</v>
      </c>
      <c r="B64" t="s">
        <v>11</v>
      </c>
      <c r="C64" t="s">
        <v>8</v>
      </c>
      <c r="D64">
        <v>6.7783720000000006E-2</v>
      </c>
      <c r="F64">
        <v>63</v>
      </c>
      <c r="G64" t="s">
        <v>303</v>
      </c>
      <c r="H64" t="s">
        <v>304</v>
      </c>
      <c r="I64" t="s">
        <v>793</v>
      </c>
      <c r="J64" t="s">
        <v>302</v>
      </c>
      <c r="K64" s="92">
        <f t="shared" si="0"/>
        <v>62</v>
      </c>
      <c r="L64" s="90" t="s">
        <v>803</v>
      </c>
      <c r="M64" s="90" t="s">
        <v>489</v>
      </c>
      <c r="N64" s="96">
        <v>36</v>
      </c>
      <c r="P64" t="s">
        <v>803</v>
      </c>
      <c r="Q64">
        <v>452463772</v>
      </c>
      <c r="R64">
        <v>3.01</v>
      </c>
    </row>
    <row r="65" spans="1:18">
      <c r="A65" t="s">
        <v>37</v>
      </c>
      <c r="B65" t="s">
        <v>678</v>
      </c>
      <c r="C65" t="s">
        <v>15</v>
      </c>
      <c r="D65">
        <v>48.116621600000002</v>
      </c>
      <c r="F65">
        <v>64</v>
      </c>
      <c r="G65" t="s">
        <v>305</v>
      </c>
      <c r="H65" t="s">
        <v>306</v>
      </c>
      <c r="I65" t="s">
        <v>305</v>
      </c>
      <c r="J65" t="s">
        <v>306</v>
      </c>
      <c r="K65" s="92">
        <f t="shared" si="0"/>
        <v>63</v>
      </c>
      <c r="L65" s="90" t="s">
        <v>798</v>
      </c>
      <c r="M65" s="90" t="s">
        <v>391</v>
      </c>
      <c r="N65" s="96">
        <v>15</v>
      </c>
      <c r="P65" t="s">
        <v>798</v>
      </c>
      <c r="Q65">
        <v>291997580</v>
      </c>
      <c r="R65">
        <v>2.5</v>
      </c>
    </row>
    <row r="66" spans="1:18">
      <c r="A66" t="s">
        <v>37</v>
      </c>
      <c r="B66" t="s">
        <v>10</v>
      </c>
      <c r="C66" t="s">
        <v>15</v>
      </c>
      <c r="D66">
        <v>12416.87</v>
      </c>
      <c r="F66">
        <v>65</v>
      </c>
      <c r="G66" t="s">
        <v>4</v>
      </c>
      <c r="H66" t="s">
        <v>307</v>
      </c>
      <c r="I66" t="s">
        <v>4</v>
      </c>
      <c r="J66" t="s">
        <v>307</v>
      </c>
      <c r="K66" s="92">
        <f t="shared" si="0"/>
        <v>64</v>
      </c>
      <c r="L66" s="90" t="s">
        <v>483</v>
      </c>
      <c r="M66" s="90" t="s">
        <v>484</v>
      </c>
      <c r="N66" s="96">
        <v>1</v>
      </c>
      <c r="P66" t="s">
        <v>483</v>
      </c>
      <c r="Q66">
        <v>9443210</v>
      </c>
      <c r="R66">
        <v>1.84</v>
      </c>
    </row>
    <row r="67" spans="1:18">
      <c r="A67" t="s">
        <v>37</v>
      </c>
      <c r="B67" t="s">
        <v>11</v>
      </c>
      <c r="C67" t="s">
        <v>15</v>
      </c>
      <c r="D67">
        <v>488.60049351999999</v>
      </c>
      <c r="F67">
        <v>66</v>
      </c>
      <c r="G67" t="s">
        <v>19</v>
      </c>
      <c r="H67" t="s">
        <v>308</v>
      </c>
      <c r="I67" t="s">
        <v>19</v>
      </c>
      <c r="J67" t="s">
        <v>308</v>
      </c>
      <c r="K67" s="92">
        <f t="shared" si="0"/>
        <v>65</v>
      </c>
      <c r="L67" s="91" t="s">
        <v>485</v>
      </c>
      <c r="M67" s="91" t="s">
        <v>486</v>
      </c>
      <c r="N67" s="97">
        <v>1</v>
      </c>
      <c r="P67" t="s">
        <v>485</v>
      </c>
      <c r="Q67">
        <v>11468330</v>
      </c>
      <c r="R67">
        <v>3.63</v>
      </c>
    </row>
    <row r="68" spans="1:18">
      <c r="A68" t="s">
        <v>37</v>
      </c>
      <c r="B68" t="s">
        <v>8</v>
      </c>
      <c r="C68" t="s">
        <v>11</v>
      </c>
      <c r="D68">
        <v>7895.2585176490002</v>
      </c>
      <c r="F68">
        <v>67</v>
      </c>
      <c r="G68" t="s">
        <v>21</v>
      </c>
      <c r="H68" t="s">
        <v>309</v>
      </c>
      <c r="I68" t="s">
        <v>21</v>
      </c>
      <c r="J68" t="s">
        <v>309</v>
      </c>
      <c r="L68" s="92" t="s">
        <v>815</v>
      </c>
      <c r="M68" s="92" t="s">
        <v>816</v>
      </c>
    </row>
    <row r="69" spans="1:18">
      <c r="A69" t="s">
        <v>37</v>
      </c>
      <c r="B69" t="s">
        <v>678</v>
      </c>
      <c r="C69" t="s">
        <v>7</v>
      </c>
      <c r="D69">
        <v>36.892219844000003</v>
      </c>
      <c r="F69">
        <v>68</v>
      </c>
      <c r="G69" t="s">
        <v>45</v>
      </c>
      <c r="H69" t="s">
        <v>310</v>
      </c>
      <c r="I69" t="s">
        <v>45</v>
      </c>
      <c r="J69" t="s">
        <v>310</v>
      </c>
    </row>
    <row r="70" spans="1:18">
      <c r="A70" t="s">
        <v>37</v>
      </c>
      <c r="B70" t="s">
        <v>10</v>
      </c>
      <c r="C70" t="s">
        <v>7</v>
      </c>
      <c r="D70">
        <v>11.398279062</v>
      </c>
      <c r="F70">
        <v>69</v>
      </c>
      <c r="G70" t="s">
        <v>311</v>
      </c>
      <c r="H70" t="s">
        <v>312</v>
      </c>
      <c r="I70" t="s">
        <v>794</v>
      </c>
      <c r="J70" t="s">
        <v>313</v>
      </c>
    </row>
    <row r="71" spans="1:18">
      <c r="A71" t="s">
        <v>37</v>
      </c>
      <c r="B71" t="s">
        <v>7</v>
      </c>
      <c r="C71" t="s">
        <v>8</v>
      </c>
      <c r="D71">
        <v>48.290498906000003</v>
      </c>
      <c r="F71">
        <v>70</v>
      </c>
      <c r="G71" t="s">
        <v>314</v>
      </c>
      <c r="H71" t="s">
        <v>315</v>
      </c>
      <c r="I71" t="s">
        <v>794</v>
      </c>
      <c r="J71" t="s">
        <v>313</v>
      </c>
    </row>
    <row r="72" spans="1:18">
      <c r="A72" t="s">
        <v>37</v>
      </c>
      <c r="B72" t="s">
        <v>678</v>
      </c>
      <c r="C72" t="s">
        <v>16</v>
      </c>
      <c r="D72">
        <v>1954.2176753450001</v>
      </c>
      <c r="F72">
        <v>71</v>
      </c>
      <c r="G72" t="s">
        <v>316</v>
      </c>
      <c r="H72" t="s">
        <v>317</v>
      </c>
      <c r="I72" t="s">
        <v>794</v>
      </c>
      <c r="J72" t="s">
        <v>313</v>
      </c>
    </row>
    <row r="73" spans="1:18">
      <c r="A73" t="s">
        <v>37</v>
      </c>
      <c r="B73" t="s">
        <v>10</v>
      </c>
      <c r="C73" t="s">
        <v>16</v>
      </c>
      <c r="D73">
        <v>15526.925577197</v>
      </c>
      <c r="F73">
        <v>72</v>
      </c>
      <c r="G73" t="s">
        <v>318</v>
      </c>
      <c r="H73" t="s">
        <v>319</v>
      </c>
      <c r="I73" t="s">
        <v>27</v>
      </c>
      <c r="J73" t="s">
        <v>320</v>
      </c>
    </row>
    <row r="74" spans="1:18">
      <c r="A74" t="s">
        <v>37</v>
      </c>
      <c r="B74" t="s">
        <v>678</v>
      </c>
      <c r="C74" t="s">
        <v>17</v>
      </c>
      <c r="D74">
        <v>0</v>
      </c>
      <c r="F74">
        <v>73</v>
      </c>
      <c r="G74" t="s">
        <v>321</v>
      </c>
      <c r="H74" t="s">
        <v>322</v>
      </c>
      <c r="I74" t="s">
        <v>27</v>
      </c>
      <c r="J74" t="s">
        <v>320</v>
      </c>
    </row>
    <row r="75" spans="1:18">
      <c r="A75" t="s">
        <v>37</v>
      </c>
      <c r="B75" t="s">
        <v>10</v>
      </c>
      <c r="C75" t="s">
        <v>17</v>
      </c>
      <c r="D75">
        <v>334.16890000000001</v>
      </c>
      <c r="F75">
        <v>74</v>
      </c>
      <c r="G75" t="s">
        <v>27</v>
      </c>
      <c r="H75" t="s">
        <v>323</v>
      </c>
      <c r="I75" t="s">
        <v>27</v>
      </c>
      <c r="J75" t="s">
        <v>320</v>
      </c>
    </row>
    <row r="76" spans="1:18">
      <c r="A76" t="s">
        <v>37</v>
      </c>
      <c r="B76" t="s">
        <v>17</v>
      </c>
      <c r="C76" t="s">
        <v>16</v>
      </c>
      <c r="D76">
        <v>334.16890000000001</v>
      </c>
      <c r="F76">
        <v>75</v>
      </c>
      <c r="G76" t="s">
        <v>24</v>
      </c>
      <c r="H76" t="s">
        <v>324</v>
      </c>
      <c r="I76" t="s">
        <v>24</v>
      </c>
      <c r="J76" t="s">
        <v>324</v>
      </c>
    </row>
    <row r="77" spans="1:18">
      <c r="A77" t="s">
        <v>37</v>
      </c>
      <c r="B77" t="s">
        <v>14</v>
      </c>
      <c r="C77" t="s">
        <v>678</v>
      </c>
      <c r="D77">
        <v>1894.2439999999999</v>
      </c>
      <c r="F77">
        <v>76</v>
      </c>
      <c r="G77" t="s">
        <v>25</v>
      </c>
      <c r="H77" t="s">
        <v>325</v>
      </c>
      <c r="I77" t="s">
        <v>25</v>
      </c>
      <c r="J77" t="s">
        <v>325</v>
      </c>
    </row>
    <row r="78" spans="1:18">
      <c r="A78" t="s">
        <v>37</v>
      </c>
      <c r="B78" t="s">
        <v>14</v>
      </c>
      <c r="C78" t="s">
        <v>10</v>
      </c>
      <c r="D78">
        <v>27829.759999999998</v>
      </c>
      <c r="F78">
        <v>77</v>
      </c>
      <c r="G78" t="s">
        <v>41</v>
      </c>
      <c r="H78" t="s">
        <v>326</v>
      </c>
      <c r="I78" t="s">
        <v>41</v>
      </c>
      <c r="J78" t="s">
        <v>326</v>
      </c>
    </row>
    <row r="79" spans="1:18">
      <c r="A79" t="s">
        <v>37</v>
      </c>
      <c r="B79" t="s">
        <v>6</v>
      </c>
      <c r="C79" t="s">
        <v>14</v>
      </c>
      <c r="D79">
        <v>29724.004000000001</v>
      </c>
      <c r="F79">
        <v>78</v>
      </c>
      <c r="G79" t="s">
        <v>26</v>
      </c>
      <c r="H79" t="s">
        <v>327</v>
      </c>
      <c r="I79" t="s">
        <v>26</v>
      </c>
      <c r="J79" t="s">
        <v>327</v>
      </c>
    </row>
    <row r="80" spans="1:18">
      <c r="A80" t="s">
        <v>37</v>
      </c>
      <c r="B80" t="s">
        <v>8</v>
      </c>
      <c r="C80" t="s">
        <v>14</v>
      </c>
      <c r="D80">
        <v>0</v>
      </c>
      <c r="F80">
        <v>79</v>
      </c>
      <c r="G80" t="s">
        <v>328</v>
      </c>
      <c r="H80" t="s">
        <v>329</v>
      </c>
      <c r="I80" t="s">
        <v>328</v>
      </c>
      <c r="J80" t="s">
        <v>329</v>
      </c>
    </row>
    <row r="81" spans="1:10">
      <c r="A81" t="s">
        <v>37</v>
      </c>
      <c r="B81" t="s">
        <v>9</v>
      </c>
      <c r="C81" t="s">
        <v>678</v>
      </c>
      <c r="D81">
        <v>602.38969999999995</v>
      </c>
      <c r="F81">
        <v>80</v>
      </c>
      <c r="G81" t="s">
        <v>330</v>
      </c>
      <c r="H81" t="s">
        <v>331</v>
      </c>
      <c r="I81" t="s">
        <v>795</v>
      </c>
      <c r="J81" t="s">
        <v>805</v>
      </c>
    </row>
    <row r="82" spans="1:10">
      <c r="A82" t="s">
        <v>37</v>
      </c>
      <c r="B82" t="s">
        <v>9</v>
      </c>
      <c r="C82" t="s">
        <v>10</v>
      </c>
      <c r="D82">
        <v>341.94670000000002</v>
      </c>
      <c r="F82">
        <v>81</v>
      </c>
      <c r="G82" t="s">
        <v>332</v>
      </c>
      <c r="H82" t="s">
        <v>333</v>
      </c>
      <c r="I82" t="s">
        <v>332</v>
      </c>
      <c r="J82" t="s">
        <v>333</v>
      </c>
    </row>
    <row r="83" spans="1:10">
      <c r="A83" t="s">
        <v>37</v>
      </c>
      <c r="B83" t="s">
        <v>6</v>
      </c>
      <c r="C83" t="s">
        <v>9</v>
      </c>
      <c r="D83">
        <v>944.33640000000003</v>
      </c>
      <c r="F83">
        <v>82</v>
      </c>
      <c r="G83" t="s">
        <v>334</v>
      </c>
      <c r="H83" t="s">
        <v>335</v>
      </c>
      <c r="I83" t="s">
        <v>332</v>
      </c>
      <c r="J83" t="s">
        <v>333</v>
      </c>
    </row>
    <row r="84" spans="1:10">
      <c r="A84" t="s">
        <v>37</v>
      </c>
      <c r="B84" t="s">
        <v>13</v>
      </c>
      <c r="C84" t="s">
        <v>678</v>
      </c>
      <c r="D84">
        <v>1316.741</v>
      </c>
      <c r="F84">
        <v>83</v>
      </c>
      <c r="G84" t="s">
        <v>336</v>
      </c>
      <c r="H84" t="s">
        <v>337</v>
      </c>
      <c r="I84" t="s">
        <v>27</v>
      </c>
      <c r="J84" t="s">
        <v>320</v>
      </c>
    </row>
    <row r="85" spans="1:10">
      <c r="A85" t="s">
        <v>37</v>
      </c>
      <c r="B85" t="s">
        <v>13</v>
      </c>
      <c r="C85" t="s">
        <v>10</v>
      </c>
      <c r="D85">
        <v>23514.7</v>
      </c>
      <c r="F85">
        <v>84</v>
      </c>
      <c r="G85" t="s">
        <v>338</v>
      </c>
      <c r="H85" t="s">
        <v>339</v>
      </c>
      <c r="I85" t="s">
        <v>338</v>
      </c>
      <c r="J85" t="s">
        <v>339</v>
      </c>
    </row>
    <row r="86" spans="1:10">
      <c r="A86" t="s">
        <v>37</v>
      </c>
      <c r="B86" t="s">
        <v>6</v>
      </c>
      <c r="C86" t="s">
        <v>13</v>
      </c>
      <c r="D86">
        <v>24831.440999999999</v>
      </c>
      <c r="F86">
        <v>85</v>
      </c>
      <c r="G86" t="s">
        <v>340</v>
      </c>
      <c r="H86" t="s">
        <v>341</v>
      </c>
      <c r="I86" t="s">
        <v>332</v>
      </c>
      <c r="J86" t="s">
        <v>333</v>
      </c>
    </row>
    <row r="87" spans="1:10">
      <c r="A87" t="s">
        <v>37</v>
      </c>
      <c r="B87" t="s">
        <v>8</v>
      </c>
      <c r="C87" t="s">
        <v>678</v>
      </c>
      <c r="D87">
        <v>14.886321801999999</v>
      </c>
      <c r="F87">
        <v>86</v>
      </c>
      <c r="G87" t="s">
        <v>342</v>
      </c>
      <c r="H87" t="s">
        <v>343</v>
      </c>
      <c r="I87" t="s">
        <v>346</v>
      </c>
      <c r="J87" t="s">
        <v>347</v>
      </c>
    </row>
    <row r="88" spans="1:10">
      <c r="A88" t="s">
        <v>37</v>
      </c>
      <c r="B88" t="s">
        <v>8</v>
      </c>
      <c r="C88" t="s">
        <v>10</v>
      </c>
      <c r="D88">
        <v>2020.338534389</v>
      </c>
      <c r="F88">
        <v>87</v>
      </c>
      <c r="G88" t="s">
        <v>344</v>
      </c>
      <c r="H88" t="s">
        <v>345</v>
      </c>
      <c r="I88" t="s">
        <v>344</v>
      </c>
      <c r="J88" t="s">
        <v>345</v>
      </c>
    </row>
    <row r="89" spans="1:10">
      <c r="A89" t="s">
        <v>37</v>
      </c>
      <c r="B89" t="s">
        <v>12</v>
      </c>
      <c r="C89" t="s">
        <v>678</v>
      </c>
      <c r="D89">
        <v>1.730008496</v>
      </c>
      <c r="F89">
        <v>88</v>
      </c>
      <c r="G89" t="s">
        <v>346</v>
      </c>
      <c r="H89" t="s">
        <v>347</v>
      </c>
      <c r="I89" t="s">
        <v>346</v>
      </c>
      <c r="J89" t="s">
        <v>347</v>
      </c>
    </row>
    <row r="90" spans="1:10">
      <c r="A90" t="s">
        <v>37</v>
      </c>
      <c r="B90" t="s">
        <v>12</v>
      </c>
      <c r="C90" t="s">
        <v>10</v>
      </c>
      <c r="D90">
        <v>488.85745732300001</v>
      </c>
      <c r="F90">
        <v>89</v>
      </c>
      <c r="G90" t="s">
        <v>348</v>
      </c>
      <c r="H90" t="s">
        <v>349</v>
      </c>
      <c r="I90" t="s">
        <v>795</v>
      </c>
      <c r="J90" t="s">
        <v>805</v>
      </c>
    </row>
    <row r="91" spans="1:10">
      <c r="A91" t="s">
        <v>37</v>
      </c>
      <c r="B91" t="s">
        <v>8</v>
      </c>
      <c r="C91" t="s">
        <v>12</v>
      </c>
      <c r="D91">
        <v>490.58746581899999</v>
      </c>
      <c r="F91">
        <v>90</v>
      </c>
      <c r="G91" t="s">
        <v>350</v>
      </c>
      <c r="H91" t="s">
        <v>351</v>
      </c>
      <c r="I91" t="s">
        <v>332</v>
      </c>
      <c r="J91" t="s">
        <v>333</v>
      </c>
    </row>
    <row r="92" spans="1:10">
      <c r="A92" t="s">
        <v>37</v>
      </c>
      <c r="B92" t="s">
        <v>16</v>
      </c>
      <c r="C92" t="s">
        <v>678</v>
      </c>
      <c r="D92">
        <v>271.28835364899999</v>
      </c>
      <c r="F92">
        <v>91</v>
      </c>
      <c r="G92" t="s">
        <v>352</v>
      </c>
      <c r="H92" t="s">
        <v>353</v>
      </c>
      <c r="I92" t="s">
        <v>332</v>
      </c>
      <c r="J92" t="s">
        <v>333</v>
      </c>
    </row>
    <row r="93" spans="1:10">
      <c r="A93" t="s">
        <v>37</v>
      </c>
      <c r="B93" t="s">
        <v>16</v>
      </c>
      <c r="C93" t="s">
        <v>10</v>
      </c>
      <c r="D93">
        <v>15861.814322288001</v>
      </c>
      <c r="F93">
        <v>92</v>
      </c>
      <c r="G93" t="s">
        <v>354</v>
      </c>
      <c r="H93" t="s">
        <v>355</v>
      </c>
      <c r="I93" t="s">
        <v>354</v>
      </c>
      <c r="J93" t="s">
        <v>355</v>
      </c>
    </row>
    <row r="94" spans="1:10">
      <c r="A94" t="s">
        <v>37</v>
      </c>
      <c r="B94" t="s">
        <v>790</v>
      </c>
      <c r="C94" t="s">
        <v>678</v>
      </c>
      <c r="D94">
        <v>0</v>
      </c>
      <c r="F94">
        <v>93</v>
      </c>
      <c r="G94" t="s">
        <v>356</v>
      </c>
      <c r="H94" t="s">
        <v>357</v>
      </c>
      <c r="I94" t="s">
        <v>356</v>
      </c>
      <c r="J94" t="s">
        <v>357</v>
      </c>
    </row>
    <row r="95" spans="1:10">
      <c r="A95" t="s">
        <v>37</v>
      </c>
      <c r="B95" t="s">
        <v>790</v>
      </c>
      <c r="C95" t="s">
        <v>10</v>
      </c>
      <c r="D95">
        <v>0</v>
      </c>
      <c r="F95">
        <v>94</v>
      </c>
      <c r="G95" t="s">
        <v>39</v>
      </c>
      <c r="H95" t="s">
        <v>358</v>
      </c>
      <c r="I95" t="s">
        <v>332</v>
      </c>
      <c r="J95" t="s">
        <v>333</v>
      </c>
    </row>
    <row r="96" spans="1:10">
      <c r="A96" t="s">
        <v>37</v>
      </c>
      <c r="B96" t="s">
        <v>8</v>
      </c>
      <c r="C96" t="s">
        <v>790</v>
      </c>
      <c r="D96">
        <v>0</v>
      </c>
      <c r="F96">
        <v>95</v>
      </c>
      <c r="G96" t="s">
        <v>359</v>
      </c>
      <c r="H96" t="s">
        <v>360</v>
      </c>
      <c r="I96" t="s">
        <v>346</v>
      </c>
      <c r="J96" t="s">
        <v>347</v>
      </c>
    </row>
    <row r="97" spans="1:10">
      <c r="A97" t="s">
        <v>37</v>
      </c>
      <c r="B97" t="s">
        <v>8</v>
      </c>
      <c r="C97" t="s">
        <v>6</v>
      </c>
      <c r="D97">
        <v>-473.58422300000001</v>
      </c>
      <c r="F97">
        <v>96</v>
      </c>
      <c r="G97" t="s">
        <v>361</v>
      </c>
      <c r="H97" t="s">
        <v>362</v>
      </c>
      <c r="I97" t="s">
        <v>361</v>
      </c>
      <c r="J97" t="s">
        <v>362</v>
      </c>
    </row>
    <row r="98" spans="1:10">
      <c r="A98" t="s">
        <v>37</v>
      </c>
      <c r="B98" t="s">
        <v>15</v>
      </c>
      <c r="C98" t="s">
        <v>6</v>
      </c>
      <c r="D98">
        <v>7886.2849999999999</v>
      </c>
      <c r="F98">
        <v>97</v>
      </c>
      <c r="G98" t="s">
        <v>363</v>
      </c>
      <c r="H98" t="s">
        <v>364</v>
      </c>
      <c r="I98" t="s">
        <v>796</v>
      </c>
      <c r="J98" t="s">
        <v>806</v>
      </c>
    </row>
    <row r="99" spans="1:10">
      <c r="A99" t="s">
        <v>37</v>
      </c>
      <c r="B99" t="s">
        <v>5</v>
      </c>
      <c r="C99" t="s">
        <v>6</v>
      </c>
      <c r="D99">
        <v>6749.5150000000003</v>
      </c>
      <c r="F99">
        <v>98</v>
      </c>
      <c r="G99" t="s">
        <v>365</v>
      </c>
      <c r="H99" t="s">
        <v>366</v>
      </c>
      <c r="I99" t="s">
        <v>796</v>
      </c>
      <c r="J99" t="s">
        <v>806</v>
      </c>
    </row>
    <row r="100" spans="1:10">
      <c r="A100" t="s">
        <v>37</v>
      </c>
      <c r="B100" t="s">
        <v>15</v>
      </c>
      <c r="C100" t="s">
        <v>5</v>
      </c>
      <c r="D100">
        <v>6749.5150000000003</v>
      </c>
      <c r="F100">
        <v>99</v>
      </c>
      <c r="G100" t="s">
        <v>367</v>
      </c>
      <c r="H100" t="s">
        <v>368</v>
      </c>
      <c r="I100" t="s">
        <v>796</v>
      </c>
      <c r="J100" t="s">
        <v>806</v>
      </c>
    </row>
    <row r="101" spans="1:10">
      <c r="A101" t="s">
        <v>37</v>
      </c>
      <c r="B101" t="s">
        <v>6</v>
      </c>
      <c r="C101" t="s">
        <v>8</v>
      </c>
      <c r="D101">
        <v>0</v>
      </c>
      <c r="F101">
        <v>100</v>
      </c>
      <c r="G101" t="s">
        <v>369</v>
      </c>
      <c r="H101" t="s">
        <v>370</v>
      </c>
      <c r="I101" t="s">
        <v>796</v>
      </c>
      <c r="J101" t="s">
        <v>806</v>
      </c>
    </row>
    <row r="102" spans="1:10">
      <c r="A102" t="s">
        <v>37</v>
      </c>
      <c r="B102" t="s">
        <v>16</v>
      </c>
      <c r="C102" t="s">
        <v>15</v>
      </c>
      <c r="D102">
        <v>1682.209476605</v>
      </c>
      <c r="F102">
        <v>101</v>
      </c>
      <c r="G102" t="s">
        <v>371</v>
      </c>
      <c r="H102" t="s">
        <v>372</v>
      </c>
      <c r="I102" t="s">
        <v>796</v>
      </c>
      <c r="J102" t="s">
        <v>806</v>
      </c>
    </row>
    <row r="103" spans="1:10">
      <c r="A103" t="s">
        <v>37</v>
      </c>
      <c r="B103" t="s">
        <v>8</v>
      </c>
      <c r="C103" t="s">
        <v>15</v>
      </c>
      <c r="D103">
        <v>5.0799649999999997E-3</v>
      </c>
      <c r="F103">
        <v>102</v>
      </c>
      <c r="G103" t="s">
        <v>373</v>
      </c>
      <c r="H103" t="s">
        <v>374</v>
      </c>
      <c r="I103" t="s">
        <v>373</v>
      </c>
      <c r="J103" t="s">
        <v>374</v>
      </c>
    </row>
    <row r="104" spans="1:10">
      <c r="A104" t="s">
        <v>22</v>
      </c>
      <c r="B104" t="s">
        <v>678</v>
      </c>
      <c r="C104" t="s">
        <v>678</v>
      </c>
      <c r="D104">
        <v>38025.331100000003</v>
      </c>
      <c r="F104">
        <v>103</v>
      </c>
      <c r="G104" t="s">
        <v>375</v>
      </c>
      <c r="H104" t="s">
        <v>376</v>
      </c>
      <c r="I104" t="s">
        <v>797</v>
      </c>
      <c r="J104" t="s">
        <v>807</v>
      </c>
    </row>
    <row r="105" spans="1:10">
      <c r="A105" t="s">
        <v>22</v>
      </c>
      <c r="B105" t="s">
        <v>10</v>
      </c>
      <c r="C105" t="s">
        <v>678</v>
      </c>
      <c r="D105">
        <v>64804.83</v>
      </c>
      <c r="E105" s="1"/>
      <c r="F105">
        <v>104</v>
      </c>
      <c r="G105" t="s">
        <v>377</v>
      </c>
      <c r="H105" t="s">
        <v>378</v>
      </c>
      <c r="I105" t="s">
        <v>797</v>
      </c>
      <c r="J105" t="s">
        <v>807</v>
      </c>
    </row>
    <row r="106" spans="1:10">
      <c r="A106" t="s">
        <v>22</v>
      </c>
      <c r="B106" t="s">
        <v>678</v>
      </c>
      <c r="C106" t="s">
        <v>10</v>
      </c>
      <c r="D106">
        <v>98568.428</v>
      </c>
      <c r="E106" s="1"/>
      <c r="F106">
        <v>105</v>
      </c>
      <c r="G106" t="s">
        <v>379</v>
      </c>
      <c r="H106" t="s">
        <v>380</v>
      </c>
      <c r="I106" t="s">
        <v>379</v>
      </c>
      <c r="J106" t="s">
        <v>380</v>
      </c>
    </row>
    <row r="107" spans="1:10">
      <c r="A107" t="s">
        <v>22</v>
      </c>
      <c r="B107" t="s">
        <v>10</v>
      </c>
      <c r="C107" t="s">
        <v>10</v>
      </c>
      <c r="D107">
        <v>1125353.7</v>
      </c>
      <c r="E107" s="1"/>
      <c r="F107">
        <v>106</v>
      </c>
      <c r="G107" t="s">
        <v>381</v>
      </c>
      <c r="H107" t="s">
        <v>382</v>
      </c>
      <c r="I107" t="s">
        <v>381</v>
      </c>
      <c r="J107" t="s">
        <v>382</v>
      </c>
    </row>
    <row r="108" spans="1:10">
      <c r="A108" t="s">
        <v>22</v>
      </c>
      <c r="B108" t="s">
        <v>11</v>
      </c>
      <c r="C108" t="s">
        <v>678</v>
      </c>
      <c r="D108">
        <v>4.7836802</v>
      </c>
      <c r="F108">
        <v>107</v>
      </c>
      <c r="G108" t="s">
        <v>383</v>
      </c>
      <c r="H108" t="s">
        <v>384</v>
      </c>
      <c r="I108" t="s">
        <v>797</v>
      </c>
      <c r="J108" t="s">
        <v>807</v>
      </c>
    </row>
    <row r="109" spans="1:10">
      <c r="A109" t="s">
        <v>22</v>
      </c>
      <c r="B109" t="s">
        <v>11</v>
      </c>
      <c r="C109" t="s">
        <v>10</v>
      </c>
      <c r="D109">
        <v>77.7123627</v>
      </c>
      <c r="F109">
        <v>108</v>
      </c>
      <c r="G109" t="s">
        <v>385</v>
      </c>
      <c r="H109" t="s">
        <v>386</v>
      </c>
      <c r="I109" t="s">
        <v>797</v>
      </c>
      <c r="J109" t="s">
        <v>807</v>
      </c>
    </row>
    <row r="110" spans="1:10">
      <c r="A110" t="s">
        <v>22</v>
      </c>
      <c r="B110" t="s">
        <v>678</v>
      </c>
      <c r="C110" t="s">
        <v>6</v>
      </c>
      <c r="D110">
        <v>129771.523</v>
      </c>
      <c r="F110">
        <v>109</v>
      </c>
      <c r="G110" t="s">
        <v>387</v>
      </c>
      <c r="H110" t="s">
        <v>388</v>
      </c>
      <c r="I110" t="s">
        <v>797</v>
      </c>
      <c r="J110" t="s">
        <v>807</v>
      </c>
    </row>
    <row r="111" spans="1:10">
      <c r="A111" t="s">
        <v>22</v>
      </c>
      <c r="B111" t="s">
        <v>10</v>
      </c>
      <c r="C111" t="s">
        <v>6</v>
      </c>
      <c r="D111">
        <v>284367.63</v>
      </c>
      <c r="E111" s="1"/>
      <c r="F111">
        <v>110</v>
      </c>
      <c r="G111" t="s">
        <v>389</v>
      </c>
      <c r="H111" t="s">
        <v>390</v>
      </c>
      <c r="I111" t="s">
        <v>798</v>
      </c>
      <c r="J111" t="s">
        <v>391</v>
      </c>
    </row>
    <row r="112" spans="1:10">
      <c r="A112" t="s">
        <v>22</v>
      </c>
      <c r="B112" t="s">
        <v>11</v>
      </c>
      <c r="C112" t="s">
        <v>6</v>
      </c>
      <c r="D112">
        <v>-46.483898044</v>
      </c>
      <c r="F112">
        <v>111</v>
      </c>
      <c r="G112" t="s">
        <v>392</v>
      </c>
      <c r="H112" t="s">
        <v>393</v>
      </c>
      <c r="I112" t="s">
        <v>798</v>
      </c>
      <c r="J112" t="s">
        <v>391</v>
      </c>
    </row>
    <row r="113" spans="1:10">
      <c r="A113" t="s">
        <v>22</v>
      </c>
      <c r="B113" t="s">
        <v>678</v>
      </c>
      <c r="C113" t="s">
        <v>8</v>
      </c>
      <c r="D113">
        <v>94.762770000000003</v>
      </c>
      <c r="F113">
        <v>112</v>
      </c>
      <c r="G113" t="s">
        <v>394</v>
      </c>
      <c r="H113" t="s">
        <v>395</v>
      </c>
      <c r="I113" t="s">
        <v>798</v>
      </c>
      <c r="J113" t="s">
        <v>391</v>
      </c>
    </row>
    <row r="114" spans="1:10">
      <c r="A114" t="s">
        <v>22</v>
      </c>
      <c r="B114" t="s">
        <v>10</v>
      </c>
      <c r="C114" t="s">
        <v>8</v>
      </c>
      <c r="D114">
        <v>104252.855</v>
      </c>
      <c r="E114" s="1"/>
      <c r="F114">
        <v>113</v>
      </c>
      <c r="G114" t="s">
        <v>396</v>
      </c>
      <c r="H114" t="s">
        <v>397</v>
      </c>
      <c r="I114" t="s">
        <v>798</v>
      </c>
      <c r="J114" t="s">
        <v>391</v>
      </c>
    </row>
    <row r="115" spans="1:10">
      <c r="A115" t="s">
        <v>22</v>
      </c>
      <c r="B115" t="s">
        <v>11</v>
      </c>
      <c r="C115" t="s">
        <v>8</v>
      </c>
      <c r="D115">
        <v>2.364362055</v>
      </c>
      <c r="F115">
        <v>114</v>
      </c>
      <c r="G115" t="s">
        <v>398</v>
      </c>
      <c r="H115" t="s">
        <v>399</v>
      </c>
      <c r="I115" t="s">
        <v>798</v>
      </c>
      <c r="J115" t="s">
        <v>391</v>
      </c>
    </row>
    <row r="116" spans="1:10">
      <c r="A116" t="s">
        <v>22</v>
      </c>
      <c r="B116" t="s">
        <v>678</v>
      </c>
      <c r="C116" t="s">
        <v>15</v>
      </c>
      <c r="D116">
        <v>6671.7578000000003</v>
      </c>
      <c r="F116">
        <v>115</v>
      </c>
      <c r="G116" t="s">
        <v>400</v>
      </c>
      <c r="H116" t="s">
        <v>401</v>
      </c>
      <c r="I116" t="s">
        <v>798</v>
      </c>
      <c r="J116" t="s">
        <v>391</v>
      </c>
    </row>
    <row r="117" spans="1:10">
      <c r="A117" t="s">
        <v>22</v>
      </c>
      <c r="B117" t="s">
        <v>10</v>
      </c>
      <c r="C117" t="s">
        <v>15</v>
      </c>
      <c r="D117">
        <v>269160.76</v>
      </c>
      <c r="E117" s="1"/>
      <c r="F117">
        <v>116</v>
      </c>
      <c r="G117" t="s">
        <v>402</v>
      </c>
      <c r="H117" t="s">
        <v>403</v>
      </c>
      <c r="I117" t="s">
        <v>798</v>
      </c>
      <c r="J117" t="s">
        <v>391</v>
      </c>
    </row>
    <row r="118" spans="1:10">
      <c r="A118" t="s">
        <v>22</v>
      </c>
      <c r="B118" t="s">
        <v>11</v>
      </c>
      <c r="C118" t="s">
        <v>15</v>
      </c>
      <c r="D118">
        <v>34162.893226774002</v>
      </c>
      <c r="F118">
        <v>117</v>
      </c>
      <c r="G118" t="s">
        <v>404</v>
      </c>
      <c r="H118" t="s">
        <v>405</v>
      </c>
      <c r="I118" t="s">
        <v>798</v>
      </c>
      <c r="J118" t="s">
        <v>391</v>
      </c>
    </row>
    <row r="119" spans="1:10">
      <c r="A119" t="s">
        <v>22</v>
      </c>
      <c r="B119" t="s">
        <v>8</v>
      </c>
      <c r="C119" t="s">
        <v>11</v>
      </c>
      <c r="D119">
        <v>34201.269733685003</v>
      </c>
      <c r="F119">
        <v>118</v>
      </c>
      <c r="G119" t="s">
        <v>406</v>
      </c>
      <c r="H119" t="s">
        <v>407</v>
      </c>
      <c r="I119" t="s">
        <v>798</v>
      </c>
      <c r="J119" t="s">
        <v>391</v>
      </c>
    </row>
    <row r="120" spans="1:10">
      <c r="A120" t="s">
        <v>22</v>
      </c>
      <c r="B120" t="s">
        <v>678</v>
      </c>
      <c r="C120" t="s">
        <v>7</v>
      </c>
      <c r="D120">
        <v>0</v>
      </c>
      <c r="F120">
        <v>119</v>
      </c>
      <c r="G120" t="s">
        <v>408</v>
      </c>
      <c r="H120" t="s">
        <v>409</v>
      </c>
      <c r="I120" t="s">
        <v>798</v>
      </c>
      <c r="J120" t="s">
        <v>391</v>
      </c>
    </row>
    <row r="121" spans="1:10">
      <c r="A121" t="s">
        <v>22</v>
      </c>
      <c r="B121" t="s">
        <v>10</v>
      </c>
      <c r="C121" t="s">
        <v>7</v>
      </c>
      <c r="D121">
        <v>-2188.579056</v>
      </c>
      <c r="F121">
        <v>120</v>
      </c>
      <c r="G121" t="s">
        <v>410</v>
      </c>
      <c r="H121" t="s">
        <v>411</v>
      </c>
      <c r="I121" t="s">
        <v>798</v>
      </c>
      <c r="J121" t="s">
        <v>391</v>
      </c>
    </row>
    <row r="122" spans="1:10">
      <c r="A122" t="s">
        <v>22</v>
      </c>
      <c r="B122" t="s">
        <v>7</v>
      </c>
      <c r="C122" t="s">
        <v>8</v>
      </c>
      <c r="D122">
        <v>-2188.579056</v>
      </c>
      <c r="F122">
        <v>121</v>
      </c>
      <c r="G122" t="s">
        <v>412</v>
      </c>
      <c r="H122" t="s">
        <v>413</v>
      </c>
      <c r="I122" t="s">
        <v>798</v>
      </c>
      <c r="J122" t="s">
        <v>391</v>
      </c>
    </row>
    <row r="123" spans="1:10">
      <c r="A123" t="s">
        <v>22</v>
      </c>
      <c r="B123" t="s">
        <v>678</v>
      </c>
      <c r="C123" t="s">
        <v>16</v>
      </c>
      <c r="D123">
        <v>5863.3459279099998</v>
      </c>
      <c r="F123">
        <v>122</v>
      </c>
      <c r="G123" t="s">
        <v>414</v>
      </c>
      <c r="H123" t="s">
        <v>415</v>
      </c>
      <c r="I123" t="s">
        <v>798</v>
      </c>
      <c r="J123" t="s">
        <v>391</v>
      </c>
    </row>
    <row r="124" spans="1:10">
      <c r="A124" t="s">
        <v>22</v>
      </c>
      <c r="B124" t="s">
        <v>10</v>
      </c>
      <c r="C124" t="s">
        <v>16</v>
      </c>
      <c r="D124">
        <v>224956.68184</v>
      </c>
      <c r="E124" s="1"/>
      <c r="F124">
        <v>123</v>
      </c>
      <c r="G124" t="s">
        <v>416</v>
      </c>
      <c r="H124" t="s">
        <v>417</v>
      </c>
      <c r="I124" t="s">
        <v>798</v>
      </c>
      <c r="J124" t="s">
        <v>391</v>
      </c>
    </row>
    <row r="125" spans="1:10">
      <c r="A125" t="s">
        <v>22</v>
      </c>
      <c r="B125" t="s">
        <v>678</v>
      </c>
      <c r="C125" t="s">
        <v>17</v>
      </c>
      <c r="D125">
        <v>0</v>
      </c>
      <c r="F125">
        <v>124</v>
      </c>
      <c r="G125" t="s">
        <v>418</v>
      </c>
      <c r="H125" t="s">
        <v>419</v>
      </c>
      <c r="I125" t="s">
        <v>798</v>
      </c>
      <c r="J125" t="s">
        <v>391</v>
      </c>
    </row>
    <row r="126" spans="1:10">
      <c r="A126" t="s">
        <v>22</v>
      </c>
      <c r="B126" t="s">
        <v>10</v>
      </c>
      <c r="C126" t="s">
        <v>17</v>
      </c>
      <c r="D126">
        <v>1793.5730000000001</v>
      </c>
      <c r="F126">
        <v>125</v>
      </c>
      <c r="G126" t="s">
        <v>43</v>
      </c>
      <c r="H126" t="s">
        <v>420</v>
      </c>
      <c r="I126" t="s">
        <v>43</v>
      </c>
      <c r="J126" t="s">
        <v>420</v>
      </c>
    </row>
    <row r="127" spans="1:10">
      <c r="A127" t="s">
        <v>22</v>
      </c>
      <c r="B127" t="s">
        <v>17</v>
      </c>
      <c r="C127" t="s">
        <v>16</v>
      </c>
      <c r="D127">
        <v>1793.5730000000001</v>
      </c>
      <c r="F127">
        <v>126</v>
      </c>
      <c r="G127" t="s">
        <v>421</v>
      </c>
      <c r="H127" t="s">
        <v>422</v>
      </c>
      <c r="I127" t="s">
        <v>799</v>
      </c>
      <c r="J127" t="s">
        <v>423</v>
      </c>
    </row>
    <row r="128" spans="1:10">
      <c r="A128" t="s">
        <v>22</v>
      </c>
      <c r="B128" t="s">
        <v>14</v>
      </c>
      <c r="C128" t="s">
        <v>678</v>
      </c>
      <c r="D128">
        <v>90278.34</v>
      </c>
      <c r="F128">
        <v>127</v>
      </c>
      <c r="G128" t="s">
        <v>424</v>
      </c>
      <c r="H128" t="s">
        <v>425</v>
      </c>
      <c r="I128" t="s">
        <v>799</v>
      </c>
      <c r="J128" t="s">
        <v>423</v>
      </c>
    </row>
    <row r="129" spans="1:10">
      <c r="A129" t="s">
        <v>22</v>
      </c>
      <c r="B129" t="s">
        <v>14</v>
      </c>
      <c r="C129" t="s">
        <v>10</v>
      </c>
      <c r="D129">
        <v>197238.8</v>
      </c>
      <c r="E129" s="1"/>
      <c r="F129">
        <v>128</v>
      </c>
      <c r="G129" t="s">
        <v>426</v>
      </c>
      <c r="H129" t="s">
        <v>427</v>
      </c>
      <c r="I129" t="s">
        <v>799</v>
      </c>
      <c r="J129" t="s">
        <v>423</v>
      </c>
    </row>
    <row r="130" spans="1:10">
      <c r="A130" t="s">
        <v>22</v>
      </c>
      <c r="B130" t="s">
        <v>6</v>
      </c>
      <c r="C130" t="s">
        <v>14</v>
      </c>
      <c r="D130">
        <v>287517.14</v>
      </c>
      <c r="E130" s="1"/>
      <c r="F130">
        <v>129</v>
      </c>
      <c r="G130" t="s">
        <v>428</v>
      </c>
      <c r="H130" t="s">
        <v>429</v>
      </c>
      <c r="I130" t="s">
        <v>799</v>
      </c>
      <c r="J130" t="s">
        <v>423</v>
      </c>
    </row>
    <row r="131" spans="1:10">
      <c r="A131" t="s">
        <v>22</v>
      </c>
      <c r="B131" t="s">
        <v>8</v>
      </c>
      <c r="C131" t="s">
        <v>14</v>
      </c>
      <c r="D131">
        <v>0</v>
      </c>
      <c r="F131">
        <v>130</v>
      </c>
      <c r="G131" t="s">
        <v>430</v>
      </c>
      <c r="H131" t="s">
        <v>431</v>
      </c>
      <c r="I131" t="s">
        <v>799</v>
      </c>
      <c r="J131" t="s">
        <v>423</v>
      </c>
    </row>
    <row r="132" spans="1:10">
      <c r="A132" t="s">
        <v>22</v>
      </c>
      <c r="B132" t="s">
        <v>9</v>
      </c>
      <c r="C132" t="s">
        <v>678</v>
      </c>
      <c r="D132">
        <v>62285.714</v>
      </c>
      <c r="F132">
        <v>131</v>
      </c>
      <c r="G132" t="s">
        <v>432</v>
      </c>
      <c r="H132" t="s">
        <v>433</v>
      </c>
      <c r="I132" t="s">
        <v>799</v>
      </c>
      <c r="J132" t="s">
        <v>423</v>
      </c>
    </row>
    <row r="133" spans="1:10">
      <c r="A133" t="s">
        <v>22</v>
      </c>
      <c r="B133" t="s">
        <v>9</v>
      </c>
      <c r="C133" t="s">
        <v>10</v>
      </c>
      <c r="D133">
        <v>7210.6890000000003</v>
      </c>
      <c r="F133">
        <v>132</v>
      </c>
      <c r="G133" t="s">
        <v>434</v>
      </c>
      <c r="H133" t="s">
        <v>435</v>
      </c>
      <c r="I133" t="s">
        <v>799</v>
      </c>
      <c r="J133" t="s">
        <v>423</v>
      </c>
    </row>
    <row r="134" spans="1:10">
      <c r="A134" t="s">
        <v>22</v>
      </c>
      <c r="B134" t="s">
        <v>6</v>
      </c>
      <c r="C134" t="s">
        <v>9</v>
      </c>
      <c r="D134">
        <v>69496.403000000006</v>
      </c>
      <c r="F134">
        <v>133</v>
      </c>
      <c r="G134" t="s">
        <v>436</v>
      </c>
      <c r="H134" t="s">
        <v>437</v>
      </c>
      <c r="I134" t="s">
        <v>799</v>
      </c>
      <c r="J134" t="s">
        <v>423</v>
      </c>
    </row>
    <row r="135" spans="1:10">
      <c r="A135" t="s">
        <v>22</v>
      </c>
      <c r="B135" t="s">
        <v>13</v>
      </c>
      <c r="C135" t="s">
        <v>678</v>
      </c>
      <c r="D135">
        <v>8896.9390000000003</v>
      </c>
      <c r="F135">
        <v>134</v>
      </c>
      <c r="G135" t="s">
        <v>438</v>
      </c>
      <c r="H135" t="s">
        <v>439</v>
      </c>
      <c r="I135" t="s">
        <v>799</v>
      </c>
      <c r="J135" t="s">
        <v>423</v>
      </c>
    </row>
    <row r="136" spans="1:10">
      <c r="A136" t="s">
        <v>22</v>
      </c>
      <c r="B136" t="s">
        <v>13</v>
      </c>
      <c r="C136" t="s">
        <v>10</v>
      </c>
      <c r="D136">
        <v>294266.40000000002</v>
      </c>
      <c r="E136" s="1"/>
      <c r="F136">
        <v>135</v>
      </c>
      <c r="G136" t="s">
        <v>440</v>
      </c>
      <c r="H136" t="s">
        <v>441</v>
      </c>
      <c r="I136" t="s">
        <v>799</v>
      </c>
      <c r="J136" t="s">
        <v>423</v>
      </c>
    </row>
    <row r="137" spans="1:10">
      <c r="A137" t="s">
        <v>22</v>
      </c>
      <c r="B137" t="s">
        <v>6</v>
      </c>
      <c r="C137" t="s">
        <v>13</v>
      </c>
      <c r="D137">
        <v>303163.33899999998</v>
      </c>
      <c r="E137" s="1"/>
      <c r="F137">
        <v>136</v>
      </c>
      <c r="G137" t="s">
        <v>442</v>
      </c>
      <c r="H137" t="s">
        <v>443</v>
      </c>
      <c r="I137" t="s">
        <v>799</v>
      </c>
      <c r="J137" t="s">
        <v>423</v>
      </c>
    </row>
    <row r="138" spans="1:10">
      <c r="A138" t="s">
        <v>22</v>
      </c>
      <c r="B138" t="s">
        <v>8</v>
      </c>
      <c r="C138" t="s">
        <v>678</v>
      </c>
      <c r="D138">
        <v>7185.8211177100002</v>
      </c>
      <c r="F138">
        <v>137</v>
      </c>
      <c r="G138" t="s">
        <v>444</v>
      </c>
      <c r="H138" t="s">
        <v>445</v>
      </c>
      <c r="I138" t="s">
        <v>799</v>
      </c>
      <c r="J138" t="s">
        <v>423</v>
      </c>
    </row>
    <row r="139" spans="1:10">
      <c r="A139" t="s">
        <v>22</v>
      </c>
      <c r="B139" t="s">
        <v>8</v>
      </c>
      <c r="C139" t="s">
        <v>10</v>
      </c>
      <c r="D139">
        <v>101487.05641999999</v>
      </c>
      <c r="E139" s="1"/>
      <c r="F139">
        <v>138</v>
      </c>
      <c r="G139" t="s">
        <v>446</v>
      </c>
      <c r="H139" t="s">
        <v>447</v>
      </c>
      <c r="I139" t="s">
        <v>799</v>
      </c>
      <c r="J139" t="s">
        <v>423</v>
      </c>
    </row>
    <row r="140" spans="1:10">
      <c r="A140" t="s">
        <v>22</v>
      </c>
      <c r="B140" t="s">
        <v>12</v>
      </c>
      <c r="C140" t="s">
        <v>678</v>
      </c>
      <c r="D140">
        <v>1025.0524625769999</v>
      </c>
      <c r="F140">
        <v>139</v>
      </c>
      <c r="G140" t="s">
        <v>448</v>
      </c>
      <c r="H140" t="s">
        <v>449</v>
      </c>
      <c r="I140" t="s">
        <v>799</v>
      </c>
      <c r="J140" t="s">
        <v>423</v>
      </c>
    </row>
    <row r="141" spans="1:10">
      <c r="A141" t="s">
        <v>22</v>
      </c>
      <c r="B141" t="s">
        <v>12</v>
      </c>
      <c r="C141" t="s">
        <v>10</v>
      </c>
      <c r="D141">
        <v>46713.839787472003</v>
      </c>
      <c r="F141">
        <v>140</v>
      </c>
      <c r="G141" t="s">
        <v>34</v>
      </c>
      <c r="H141" t="s">
        <v>450</v>
      </c>
      <c r="I141" t="s">
        <v>34</v>
      </c>
      <c r="J141" t="s">
        <v>450</v>
      </c>
    </row>
    <row r="142" spans="1:10">
      <c r="A142" t="s">
        <v>22</v>
      </c>
      <c r="B142" t="s">
        <v>8</v>
      </c>
      <c r="C142" t="s">
        <v>12</v>
      </c>
      <c r="D142">
        <v>47738.892250049001</v>
      </c>
      <c r="F142">
        <v>141</v>
      </c>
      <c r="G142" t="s">
        <v>451</v>
      </c>
      <c r="H142" t="s">
        <v>452</v>
      </c>
      <c r="I142" t="s">
        <v>34</v>
      </c>
      <c r="J142" t="s">
        <v>450</v>
      </c>
    </row>
    <row r="143" spans="1:10">
      <c r="A143" t="s">
        <v>22</v>
      </c>
      <c r="B143" t="s">
        <v>16</v>
      </c>
      <c r="C143" t="s">
        <v>678</v>
      </c>
      <c r="D143">
        <v>6488.3374602149997</v>
      </c>
      <c r="F143">
        <v>142</v>
      </c>
      <c r="G143" t="s">
        <v>453</v>
      </c>
      <c r="H143" t="s">
        <v>454</v>
      </c>
      <c r="I143" t="s">
        <v>800</v>
      </c>
      <c r="J143" t="s">
        <v>455</v>
      </c>
    </row>
    <row r="144" spans="1:10">
      <c r="A144" t="s">
        <v>22</v>
      </c>
      <c r="B144" t="s">
        <v>16</v>
      </c>
      <c r="C144" t="s">
        <v>10</v>
      </c>
      <c r="D144">
        <v>201584.83170000001</v>
      </c>
      <c r="E144" s="1"/>
      <c r="F144">
        <v>143</v>
      </c>
      <c r="G144" t="s">
        <v>456</v>
      </c>
      <c r="H144" t="s">
        <v>457</v>
      </c>
      <c r="I144" t="s">
        <v>800</v>
      </c>
      <c r="J144" t="s">
        <v>455</v>
      </c>
    </row>
    <row r="145" spans="1:10">
      <c r="A145" t="s">
        <v>22</v>
      </c>
      <c r="B145" t="s">
        <v>790</v>
      </c>
      <c r="C145" t="s">
        <v>678</v>
      </c>
      <c r="D145">
        <v>0</v>
      </c>
      <c r="F145">
        <v>144</v>
      </c>
      <c r="G145" t="s">
        <v>458</v>
      </c>
      <c r="H145" t="s">
        <v>459</v>
      </c>
      <c r="I145" t="s">
        <v>800</v>
      </c>
      <c r="J145" t="s">
        <v>455</v>
      </c>
    </row>
    <row r="146" spans="1:10">
      <c r="A146" t="s">
        <v>22</v>
      </c>
      <c r="B146" t="s">
        <v>790</v>
      </c>
      <c r="C146" t="s">
        <v>10</v>
      </c>
      <c r="D146">
        <v>0</v>
      </c>
      <c r="F146">
        <v>145</v>
      </c>
      <c r="G146" t="s">
        <v>460</v>
      </c>
      <c r="H146" t="s">
        <v>461</v>
      </c>
      <c r="I146" t="s">
        <v>800</v>
      </c>
      <c r="J146" t="s">
        <v>455</v>
      </c>
    </row>
    <row r="147" spans="1:10">
      <c r="A147" t="s">
        <v>22</v>
      </c>
      <c r="B147" t="s">
        <v>8</v>
      </c>
      <c r="C147" t="s">
        <v>790</v>
      </c>
      <c r="D147">
        <v>0</v>
      </c>
      <c r="F147">
        <v>146</v>
      </c>
      <c r="G147" t="s">
        <v>462</v>
      </c>
      <c r="H147" t="s">
        <v>462</v>
      </c>
      <c r="I147" t="s">
        <v>462</v>
      </c>
      <c r="J147" t="s">
        <v>463</v>
      </c>
    </row>
    <row r="148" spans="1:10">
      <c r="A148" t="s">
        <v>22</v>
      </c>
      <c r="B148" t="s">
        <v>8</v>
      </c>
      <c r="C148" t="s">
        <v>6</v>
      </c>
      <c r="D148">
        <v>-88451.477100000004</v>
      </c>
      <c r="F148">
        <v>147</v>
      </c>
      <c r="G148" t="s">
        <v>464</v>
      </c>
      <c r="H148" t="s">
        <v>465</v>
      </c>
      <c r="I148" t="s">
        <v>801</v>
      </c>
      <c r="J148" t="s">
        <v>808</v>
      </c>
    </row>
    <row r="149" spans="1:10">
      <c r="A149" t="s">
        <v>22</v>
      </c>
      <c r="B149" t="s">
        <v>15</v>
      </c>
      <c r="C149" t="s">
        <v>6</v>
      </c>
      <c r="D149">
        <v>249317.1</v>
      </c>
      <c r="E149" s="1"/>
      <c r="F149">
        <v>148</v>
      </c>
      <c r="G149" t="s">
        <v>466</v>
      </c>
      <c r="H149" t="s">
        <v>467</v>
      </c>
      <c r="I149" t="s">
        <v>801</v>
      </c>
      <c r="J149" t="s">
        <v>808</v>
      </c>
    </row>
    <row r="150" spans="1:10">
      <c r="A150" t="s">
        <v>22</v>
      </c>
      <c r="B150" t="s">
        <v>5</v>
      </c>
      <c r="C150" t="s">
        <v>6</v>
      </c>
      <c r="D150">
        <v>85218.59</v>
      </c>
      <c r="E150" s="1"/>
      <c r="F150">
        <v>149</v>
      </c>
      <c r="G150" t="s">
        <v>468</v>
      </c>
      <c r="H150" t="s">
        <v>469</v>
      </c>
      <c r="I150" t="s">
        <v>801</v>
      </c>
      <c r="J150" t="s">
        <v>808</v>
      </c>
    </row>
    <row r="151" spans="1:10">
      <c r="A151" t="s">
        <v>22</v>
      </c>
      <c r="B151" t="s">
        <v>15</v>
      </c>
      <c r="C151" t="s">
        <v>5</v>
      </c>
      <c r="D151">
        <v>85218.59</v>
      </c>
      <c r="E151" s="1"/>
      <c r="F151">
        <v>150</v>
      </c>
      <c r="G151" t="s">
        <v>470</v>
      </c>
      <c r="H151" t="s">
        <v>471</v>
      </c>
      <c r="I151" t="s">
        <v>801</v>
      </c>
      <c r="J151" t="s">
        <v>808</v>
      </c>
    </row>
    <row r="152" spans="1:10">
      <c r="A152" t="s">
        <v>22</v>
      </c>
      <c r="B152" t="s">
        <v>6</v>
      </c>
      <c r="C152" t="s">
        <v>8</v>
      </c>
      <c r="D152">
        <v>0</v>
      </c>
      <c r="F152">
        <v>151</v>
      </c>
      <c r="G152" t="s">
        <v>472</v>
      </c>
      <c r="H152" t="s">
        <v>473</v>
      </c>
      <c r="I152" t="s">
        <v>802</v>
      </c>
      <c r="J152" t="s">
        <v>474</v>
      </c>
    </row>
    <row r="153" spans="1:10">
      <c r="A153" t="s">
        <v>22</v>
      </c>
      <c r="B153" t="s">
        <v>16</v>
      </c>
      <c r="C153" t="s">
        <v>15</v>
      </c>
      <c r="D153">
        <v>24540.431605845999</v>
      </c>
      <c r="F153">
        <v>152</v>
      </c>
      <c r="G153" t="s">
        <v>475</v>
      </c>
      <c r="H153" t="s">
        <v>476</v>
      </c>
      <c r="I153" t="s">
        <v>475</v>
      </c>
      <c r="J153" t="s">
        <v>476</v>
      </c>
    </row>
    <row r="154" spans="1:10">
      <c r="A154" t="s">
        <v>22</v>
      </c>
      <c r="B154" t="s">
        <v>15</v>
      </c>
      <c r="C154" t="s">
        <v>8</v>
      </c>
      <c r="D154">
        <v>0.159346923</v>
      </c>
      <c r="E154" s="1"/>
      <c r="F154">
        <v>153</v>
      </c>
      <c r="G154" t="s">
        <v>477</v>
      </c>
      <c r="H154" t="s">
        <v>478</v>
      </c>
      <c r="I154" t="s">
        <v>802</v>
      </c>
      <c r="J154" t="s">
        <v>474</v>
      </c>
    </row>
    <row r="155" spans="1:10">
      <c r="A155" t="s">
        <v>28</v>
      </c>
      <c r="B155" t="s">
        <v>678</v>
      </c>
      <c r="C155" t="s">
        <v>678</v>
      </c>
      <c r="D155">
        <v>73.212559999999996</v>
      </c>
      <c r="F155">
        <v>154</v>
      </c>
      <c r="G155" t="s">
        <v>479</v>
      </c>
      <c r="H155" t="s">
        <v>480</v>
      </c>
      <c r="I155" t="s">
        <v>479</v>
      </c>
      <c r="J155" t="s">
        <v>480</v>
      </c>
    </row>
    <row r="156" spans="1:10">
      <c r="A156" t="s">
        <v>28</v>
      </c>
      <c r="B156" t="s">
        <v>10</v>
      </c>
      <c r="C156" t="s">
        <v>678</v>
      </c>
      <c r="D156">
        <v>1318.3647000000001</v>
      </c>
      <c r="F156">
        <v>155</v>
      </c>
      <c r="G156" t="s">
        <v>481</v>
      </c>
      <c r="H156" t="s">
        <v>482</v>
      </c>
      <c r="I156" t="s">
        <v>481</v>
      </c>
      <c r="J156" t="s">
        <v>482</v>
      </c>
    </row>
    <row r="157" spans="1:10">
      <c r="A157" t="s">
        <v>28</v>
      </c>
      <c r="B157" t="s">
        <v>678</v>
      </c>
      <c r="C157" t="s">
        <v>10</v>
      </c>
      <c r="D157">
        <v>2143.0709000000002</v>
      </c>
      <c r="F157">
        <v>156</v>
      </c>
      <c r="G157" t="s">
        <v>483</v>
      </c>
      <c r="H157" t="s">
        <v>484</v>
      </c>
      <c r="I157" t="s">
        <v>483</v>
      </c>
      <c r="J157" t="s">
        <v>484</v>
      </c>
    </row>
    <row r="158" spans="1:10">
      <c r="A158" t="s">
        <v>28</v>
      </c>
      <c r="B158" t="s">
        <v>10</v>
      </c>
      <c r="C158" t="s">
        <v>10</v>
      </c>
      <c r="D158">
        <v>217979.36</v>
      </c>
      <c r="E158" s="1"/>
      <c r="F158">
        <v>157</v>
      </c>
      <c r="G158" t="s">
        <v>485</v>
      </c>
      <c r="H158" t="s">
        <v>486</v>
      </c>
      <c r="I158" t="s">
        <v>485</v>
      </c>
      <c r="J158" t="s">
        <v>486</v>
      </c>
    </row>
    <row r="159" spans="1:10">
      <c r="A159" t="s">
        <v>28</v>
      </c>
      <c r="B159" t="s">
        <v>11</v>
      </c>
      <c r="C159" t="s">
        <v>678</v>
      </c>
      <c r="D159">
        <v>-0.155861315</v>
      </c>
      <c r="F159">
        <v>158</v>
      </c>
      <c r="G159" t="s">
        <v>487</v>
      </c>
      <c r="H159" t="s">
        <v>488</v>
      </c>
      <c r="I159" t="s">
        <v>803</v>
      </c>
      <c r="J159" t="s">
        <v>489</v>
      </c>
    </row>
    <row r="160" spans="1:10">
      <c r="A160" t="s">
        <v>28</v>
      </c>
      <c r="B160" t="s">
        <v>11</v>
      </c>
      <c r="C160" t="s">
        <v>10</v>
      </c>
      <c r="D160">
        <v>-72.255114816000003</v>
      </c>
      <c r="F160">
        <v>159</v>
      </c>
      <c r="G160" t="s">
        <v>490</v>
      </c>
      <c r="H160" t="s">
        <v>491</v>
      </c>
      <c r="I160" t="s">
        <v>803</v>
      </c>
      <c r="J160" t="s">
        <v>489</v>
      </c>
    </row>
    <row r="161" spans="1:10">
      <c r="A161" t="s">
        <v>28</v>
      </c>
      <c r="B161" t="s">
        <v>678</v>
      </c>
      <c r="C161" t="s">
        <v>6</v>
      </c>
      <c r="D161">
        <v>3919.8040000000001</v>
      </c>
      <c r="F161">
        <v>160</v>
      </c>
      <c r="G161" t="s">
        <v>492</v>
      </c>
      <c r="H161" t="s">
        <v>493</v>
      </c>
      <c r="I161" t="s">
        <v>803</v>
      </c>
      <c r="J161" t="s">
        <v>489</v>
      </c>
    </row>
    <row r="162" spans="1:10">
      <c r="A162" t="s">
        <v>28</v>
      </c>
      <c r="B162" t="s">
        <v>10</v>
      </c>
      <c r="C162" t="s">
        <v>6</v>
      </c>
      <c r="D162">
        <v>99611.73</v>
      </c>
      <c r="E162" s="1"/>
      <c r="F162">
        <v>161</v>
      </c>
      <c r="G162" t="s">
        <v>494</v>
      </c>
      <c r="H162" t="s">
        <v>495</v>
      </c>
      <c r="I162" t="s">
        <v>803</v>
      </c>
      <c r="J162" t="s">
        <v>489</v>
      </c>
    </row>
    <row r="163" spans="1:10">
      <c r="A163" t="s">
        <v>28</v>
      </c>
      <c r="B163" t="s">
        <v>11</v>
      </c>
      <c r="C163" t="s">
        <v>6</v>
      </c>
      <c r="D163">
        <v>55.289314589999996</v>
      </c>
      <c r="F163">
        <v>162</v>
      </c>
      <c r="G163" t="s">
        <v>496</v>
      </c>
      <c r="H163" t="s">
        <v>497</v>
      </c>
      <c r="I163" t="s">
        <v>803</v>
      </c>
      <c r="J163" t="s">
        <v>489</v>
      </c>
    </row>
    <row r="164" spans="1:10">
      <c r="A164" t="s">
        <v>28</v>
      </c>
      <c r="B164" t="s">
        <v>678</v>
      </c>
      <c r="C164" t="s">
        <v>8</v>
      </c>
      <c r="D164">
        <v>7.4674399999999999</v>
      </c>
      <c r="F164">
        <v>163</v>
      </c>
      <c r="G164" t="s">
        <v>498</v>
      </c>
      <c r="H164" t="s">
        <v>499</v>
      </c>
      <c r="I164" t="s">
        <v>803</v>
      </c>
      <c r="J164" t="s">
        <v>489</v>
      </c>
    </row>
    <row r="165" spans="1:10">
      <c r="A165" t="s">
        <v>28</v>
      </c>
      <c r="B165" t="s">
        <v>10</v>
      </c>
      <c r="C165" t="s">
        <v>8</v>
      </c>
      <c r="D165">
        <v>14737.854799999999</v>
      </c>
      <c r="F165">
        <v>164</v>
      </c>
      <c r="G165" t="s">
        <v>500</v>
      </c>
      <c r="H165" t="s">
        <v>501</v>
      </c>
      <c r="I165" t="s">
        <v>803</v>
      </c>
      <c r="J165" t="s">
        <v>489</v>
      </c>
    </row>
    <row r="166" spans="1:10">
      <c r="A166" t="s">
        <v>28</v>
      </c>
      <c r="B166" t="s">
        <v>11</v>
      </c>
      <c r="C166" t="s">
        <v>8</v>
      </c>
      <c r="D166">
        <v>0.24028928199999999</v>
      </c>
      <c r="F166">
        <v>165</v>
      </c>
      <c r="G166" t="s">
        <v>502</v>
      </c>
      <c r="H166" t="s">
        <v>503</v>
      </c>
      <c r="I166" t="s">
        <v>803</v>
      </c>
      <c r="J166" t="s">
        <v>489</v>
      </c>
    </row>
    <row r="167" spans="1:10">
      <c r="A167" t="s">
        <v>28</v>
      </c>
      <c r="B167" t="s">
        <v>678</v>
      </c>
      <c r="C167" t="s">
        <v>15</v>
      </c>
      <c r="D167">
        <v>10.536453</v>
      </c>
      <c r="F167">
        <v>166</v>
      </c>
      <c r="G167" t="s">
        <v>504</v>
      </c>
      <c r="H167" t="s">
        <v>505</v>
      </c>
      <c r="I167" t="s">
        <v>803</v>
      </c>
      <c r="J167" t="s">
        <v>489</v>
      </c>
    </row>
    <row r="168" spans="1:10">
      <c r="A168" t="s">
        <v>28</v>
      </c>
      <c r="B168" t="s">
        <v>10</v>
      </c>
      <c r="C168" t="s">
        <v>15</v>
      </c>
      <c r="D168">
        <v>61038.71</v>
      </c>
      <c r="E168" s="1"/>
      <c r="F168">
        <v>167</v>
      </c>
      <c r="G168" t="s">
        <v>506</v>
      </c>
      <c r="H168" t="s">
        <v>507</v>
      </c>
      <c r="I168" t="s">
        <v>803</v>
      </c>
      <c r="J168" t="s">
        <v>489</v>
      </c>
    </row>
    <row r="169" spans="1:10">
      <c r="A169" t="s">
        <v>28</v>
      </c>
      <c r="B169" t="s">
        <v>11</v>
      </c>
      <c r="C169" t="s">
        <v>15</v>
      </c>
      <c r="D169">
        <v>20.263497329</v>
      </c>
      <c r="F169">
        <v>168</v>
      </c>
      <c r="G169" t="s">
        <v>508</v>
      </c>
      <c r="H169" t="s">
        <v>509</v>
      </c>
      <c r="I169" t="s">
        <v>803</v>
      </c>
      <c r="J169" t="s">
        <v>489</v>
      </c>
    </row>
    <row r="170" spans="1:10">
      <c r="A170" t="s">
        <v>28</v>
      </c>
      <c r="B170" t="s">
        <v>8</v>
      </c>
      <c r="C170" t="s">
        <v>11</v>
      </c>
      <c r="D170">
        <v>3.3821250699999998</v>
      </c>
      <c r="F170">
        <v>169</v>
      </c>
      <c r="G170" t="s">
        <v>510</v>
      </c>
      <c r="H170" t="s">
        <v>511</v>
      </c>
      <c r="I170" t="s">
        <v>803</v>
      </c>
      <c r="J170" t="s">
        <v>489</v>
      </c>
    </row>
    <row r="171" spans="1:10">
      <c r="A171" t="s">
        <v>28</v>
      </c>
      <c r="B171" t="s">
        <v>678</v>
      </c>
      <c r="C171" t="s">
        <v>7</v>
      </c>
      <c r="D171">
        <v>0</v>
      </c>
      <c r="F171">
        <v>170</v>
      </c>
      <c r="G171" t="s">
        <v>512</v>
      </c>
      <c r="H171" t="s">
        <v>513</v>
      </c>
      <c r="I171" t="s">
        <v>803</v>
      </c>
      <c r="J171" t="s">
        <v>489</v>
      </c>
    </row>
    <row r="172" spans="1:10">
      <c r="A172" t="s">
        <v>28</v>
      </c>
      <c r="B172" t="s">
        <v>10</v>
      </c>
      <c r="C172" t="s">
        <v>7</v>
      </c>
      <c r="D172">
        <v>-686.11975314999995</v>
      </c>
      <c r="F172">
        <v>171</v>
      </c>
      <c r="G172" t="s">
        <v>514</v>
      </c>
      <c r="H172" t="s">
        <v>515</v>
      </c>
      <c r="I172" t="s">
        <v>803</v>
      </c>
      <c r="J172" t="s">
        <v>489</v>
      </c>
    </row>
    <row r="173" spans="1:10">
      <c r="A173" t="s">
        <v>28</v>
      </c>
      <c r="B173" t="s">
        <v>7</v>
      </c>
      <c r="C173" t="s">
        <v>8</v>
      </c>
      <c r="D173">
        <v>-686.11975314999995</v>
      </c>
      <c r="F173">
        <v>172</v>
      </c>
      <c r="G173" t="s">
        <v>516</v>
      </c>
      <c r="H173" t="s">
        <v>517</v>
      </c>
      <c r="I173" t="s">
        <v>803</v>
      </c>
      <c r="J173" t="s">
        <v>489</v>
      </c>
    </row>
    <row r="174" spans="1:10">
      <c r="A174" t="s">
        <v>28</v>
      </c>
      <c r="B174" t="s">
        <v>678</v>
      </c>
      <c r="C174" t="s">
        <v>16</v>
      </c>
      <c r="D174">
        <v>179.651804693</v>
      </c>
      <c r="F174">
        <v>173</v>
      </c>
      <c r="G174" t="s">
        <v>518</v>
      </c>
      <c r="H174" t="s">
        <v>519</v>
      </c>
      <c r="I174" t="s">
        <v>803</v>
      </c>
      <c r="J174" t="s">
        <v>489</v>
      </c>
    </row>
    <row r="175" spans="1:10">
      <c r="A175" t="s">
        <v>28</v>
      </c>
      <c r="B175" t="s">
        <v>10</v>
      </c>
      <c r="C175" t="s">
        <v>16</v>
      </c>
      <c r="D175">
        <v>71229.531527971994</v>
      </c>
      <c r="E175" s="1"/>
      <c r="F175">
        <v>174</v>
      </c>
      <c r="G175" t="s">
        <v>520</v>
      </c>
      <c r="H175" t="s">
        <v>521</v>
      </c>
      <c r="I175" t="s">
        <v>803</v>
      </c>
      <c r="J175" t="s">
        <v>489</v>
      </c>
    </row>
    <row r="176" spans="1:10">
      <c r="A176" t="s">
        <v>28</v>
      </c>
      <c r="B176" t="s">
        <v>678</v>
      </c>
      <c r="C176" t="s">
        <v>17</v>
      </c>
      <c r="D176">
        <v>0</v>
      </c>
      <c r="F176">
        <v>175</v>
      </c>
      <c r="G176" t="s">
        <v>522</v>
      </c>
      <c r="H176" t="s">
        <v>523</v>
      </c>
      <c r="I176" t="s">
        <v>803</v>
      </c>
      <c r="J176" t="s">
        <v>489</v>
      </c>
    </row>
    <row r="177" spans="1:10">
      <c r="A177" t="s">
        <v>28</v>
      </c>
      <c r="B177" t="s">
        <v>10</v>
      </c>
      <c r="C177" t="s">
        <v>17</v>
      </c>
      <c r="D177">
        <v>1025.769</v>
      </c>
      <c r="F177">
        <v>176</v>
      </c>
      <c r="G177" t="s">
        <v>524</v>
      </c>
      <c r="H177" t="s">
        <v>525</v>
      </c>
      <c r="I177" t="s">
        <v>803</v>
      </c>
      <c r="J177" t="s">
        <v>489</v>
      </c>
    </row>
    <row r="178" spans="1:10">
      <c r="A178" t="s">
        <v>28</v>
      </c>
      <c r="B178" t="s">
        <v>17</v>
      </c>
      <c r="C178" t="s">
        <v>16</v>
      </c>
      <c r="D178">
        <v>1025.769</v>
      </c>
      <c r="F178">
        <v>177</v>
      </c>
      <c r="G178" t="s">
        <v>526</v>
      </c>
      <c r="H178" t="s">
        <v>527</v>
      </c>
      <c r="I178" t="s">
        <v>803</v>
      </c>
      <c r="J178" t="s">
        <v>489</v>
      </c>
    </row>
    <row r="179" spans="1:10">
      <c r="A179" t="s">
        <v>28</v>
      </c>
      <c r="B179" t="s">
        <v>14</v>
      </c>
      <c r="C179" t="s">
        <v>678</v>
      </c>
      <c r="D179">
        <v>810.91120000000001</v>
      </c>
      <c r="F179">
        <v>178</v>
      </c>
      <c r="G179" t="s">
        <v>528</v>
      </c>
      <c r="H179" t="s">
        <v>529</v>
      </c>
      <c r="I179" t="s">
        <v>803</v>
      </c>
      <c r="J179" t="s">
        <v>489</v>
      </c>
    </row>
    <row r="180" spans="1:10">
      <c r="A180" t="s">
        <v>28</v>
      </c>
      <c r="B180" t="s">
        <v>14</v>
      </c>
      <c r="C180" t="s">
        <v>10</v>
      </c>
      <c r="D180">
        <v>72458.95</v>
      </c>
      <c r="E180" s="1"/>
      <c r="F180">
        <v>179</v>
      </c>
      <c r="G180" t="s">
        <v>530</v>
      </c>
      <c r="H180" t="s">
        <v>531</v>
      </c>
      <c r="I180" t="s">
        <v>803</v>
      </c>
      <c r="J180" t="s">
        <v>489</v>
      </c>
    </row>
    <row r="181" spans="1:10">
      <c r="A181" t="s">
        <v>28</v>
      </c>
      <c r="B181" t="s">
        <v>6</v>
      </c>
      <c r="C181" t="s">
        <v>14</v>
      </c>
      <c r="D181">
        <v>73269.861199999999</v>
      </c>
      <c r="E181" s="1"/>
      <c r="F181">
        <v>180</v>
      </c>
      <c r="G181" t="s">
        <v>532</v>
      </c>
      <c r="H181" t="s">
        <v>533</v>
      </c>
      <c r="I181" t="s">
        <v>803</v>
      </c>
      <c r="J181" t="s">
        <v>489</v>
      </c>
    </row>
    <row r="182" spans="1:10">
      <c r="A182" t="s">
        <v>28</v>
      </c>
      <c r="B182" t="s">
        <v>8</v>
      </c>
      <c r="C182" t="s">
        <v>14</v>
      </c>
      <c r="D182">
        <v>0</v>
      </c>
      <c r="F182">
        <v>181</v>
      </c>
      <c r="G182" t="s">
        <v>534</v>
      </c>
      <c r="H182" t="s">
        <v>535</v>
      </c>
      <c r="I182" t="s">
        <v>803</v>
      </c>
      <c r="J182" t="s">
        <v>489</v>
      </c>
    </row>
    <row r="183" spans="1:10">
      <c r="A183" t="s">
        <v>28</v>
      </c>
      <c r="B183" t="s">
        <v>9</v>
      </c>
      <c r="C183" t="s">
        <v>678</v>
      </c>
      <c r="D183">
        <v>448.54439000000002</v>
      </c>
      <c r="F183">
        <v>182</v>
      </c>
      <c r="G183" t="s">
        <v>536</v>
      </c>
      <c r="H183" t="s">
        <v>537</v>
      </c>
      <c r="I183" t="s">
        <v>803</v>
      </c>
      <c r="J183" t="s">
        <v>489</v>
      </c>
    </row>
    <row r="184" spans="1:10">
      <c r="A184" t="s">
        <v>28</v>
      </c>
      <c r="B184" t="s">
        <v>9</v>
      </c>
      <c r="C184" t="s">
        <v>10</v>
      </c>
      <c r="D184">
        <v>1296.836</v>
      </c>
      <c r="F184">
        <v>183</v>
      </c>
      <c r="G184" t="s">
        <v>538</v>
      </c>
      <c r="H184" t="s">
        <v>539</v>
      </c>
      <c r="I184" t="s">
        <v>803</v>
      </c>
      <c r="J184" t="s">
        <v>489</v>
      </c>
    </row>
    <row r="185" spans="1:10">
      <c r="A185" t="s">
        <v>28</v>
      </c>
      <c r="B185" t="s">
        <v>6</v>
      </c>
      <c r="C185" t="s">
        <v>9</v>
      </c>
      <c r="D185">
        <v>1745.38039</v>
      </c>
      <c r="F185">
        <v>184</v>
      </c>
      <c r="G185" t="s">
        <v>540</v>
      </c>
      <c r="H185" t="s">
        <v>541</v>
      </c>
      <c r="I185" t="s">
        <v>803</v>
      </c>
      <c r="J185" t="s">
        <v>489</v>
      </c>
    </row>
    <row r="186" spans="1:10">
      <c r="A186" t="s">
        <v>28</v>
      </c>
      <c r="B186" t="s">
        <v>13</v>
      </c>
      <c r="C186" t="s">
        <v>678</v>
      </c>
      <c r="D186">
        <v>227.43620000000001</v>
      </c>
      <c r="F186">
        <v>185</v>
      </c>
      <c r="G186" t="s">
        <v>542</v>
      </c>
      <c r="H186" t="s">
        <v>543</v>
      </c>
      <c r="I186" t="s">
        <v>803</v>
      </c>
      <c r="J186" t="s">
        <v>489</v>
      </c>
    </row>
    <row r="187" spans="1:10">
      <c r="A187" t="s">
        <v>28</v>
      </c>
      <c r="B187" t="s">
        <v>13</v>
      </c>
      <c r="C187" t="s">
        <v>10</v>
      </c>
      <c r="D187">
        <v>93018.85</v>
      </c>
      <c r="E187" s="1"/>
      <c r="F187">
        <v>186</v>
      </c>
      <c r="G187" t="s">
        <v>544</v>
      </c>
      <c r="H187" t="s">
        <v>545</v>
      </c>
      <c r="I187" t="s">
        <v>803</v>
      </c>
      <c r="J187" t="s">
        <v>489</v>
      </c>
    </row>
    <row r="188" spans="1:10">
      <c r="A188" t="s">
        <v>28</v>
      </c>
      <c r="B188" t="s">
        <v>6</v>
      </c>
      <c r="C188" t="s">
        <v>13</v>
      </c>
      <c r="D188">
        <v>93246.286200000002</v>
      </c>
      <c r="E188" s="1"/>
      <c r="F188">
        <v>187</v>
      </c>
      <c r="G188" t="s">
        <v>546</v>
      </c>
      <c r="H188" t="s">
        <v>547</v>
      </c>
      <c r="I188" t="s">
        <v>803</v>
      </c>
      <c r="J188" t="s">
        <v>489</v>
      </c>
    </row>
    <row r="189" spans="1:10">
      <c r="A189" t="s">
        <v>28</v>
      </c>
      <c r="B189" t="s">
        <v>8</v>
      </c>
      <c r="C189" t="s">
        <v>678</v>
      </c>
      <c r="D189">
        <v>2.8008E-5</v>
      </c>
      <c r="F189">
        <v>188</v>
      </c>
      <c r="G189" t="s">
        <v>548</v>
      </c>
      <c r="H189" t="s">
        <v>549</v>
      </c>
      <c r="I189" t="s">
        <v>803</v>
      </c>
      <c r="J189" t="s">
        <v>489</v>
      </c>
    </row>
    <row r="190" spans="1:10">
      <c r="A190" t="s">
        <v>28</v>
      </c>
      <c r="B190" t="s">
        <v>8</v>
      </c>
      <c r="C190" t="s">
        <v>10</v>
      </c>
      <c r="D190">
        <v>-2.0103619999999999E-3</v>
      </c>
      <c r="E190" s="1"/>
      <c r="F190">
        <v>189</v>
      </c>
      <c r="G190" t="s">
        <v>550</v>
      </c>
      <c r="H190" t="s">
        <v>551</v>
      </c>
      <c r="I190" t="s">
        <v>803</v>
      </c>
      <c r="J190" t="s">
        <v>489</v>
      </c>
    </row>
    <row r="191" spans="1:10">
      <c r="A191" t="s">
        <v>28</v>
      </c>
      <c r="B191" t="s">
        <v>12</v>
      </c>
      <c r="C191" t="s">
        <v>678</v>
      </c>
      <c r="D191">
        <v>0</v>
      </c>
      <c r="F191">
        <v>190</v>
      </c>
      <c r="G191" t="s">
        <v>552</v>
      </c>
      <c r="H191" t="s">
        <v>553</v>
      </c>
      <c r="I191" t="s">
        <v>803</v>
      </c>
      <c r="J191" t="s">
        <v>489</v>
      </c>
    </row>
    <row r="192" spans="1:10">
      <c r="A192" t="s">
        <v>28</v>
      </c>
      <c r="B192" t="s">
        <v>12</v>
      </c>
      <c r="C192" t="s">
        <v>10</v>
      </c>
      <c r="D192">
        <v>0</v>
      </c>
      <c r="F192">
        <v>191</v>
      </c>
      <c r="G192" t="s">
        <v>554</v>
      </c>
      <c r="H192" t="s">
        <v>555</v>
      </c>
      <c r="I192" t="s">
        <v>803</v>
      </c>
      <c r="J192" t="s">
        <v>489</v>
      </c>
    </row>
    <row r="193" spans="1:10">
      <c r="A193" t="s">
        <v>28</v>
      </c>
      <c r="B193" t="s">
        <v>8</v>
      </c>
      <c r="C193" t="s">
        <v>12</v>
      </c>
      <c r="D193">
        <v>0</v>
      </c>
      <c r="F193">
        <v>192</v>
      </c>
      <c r="G193" t="s">
        <v>556</v>
      </c>
      <c r="H193" t="s">
        <v>557</v>
      </c>
      <c r="I193" t="s">
        <v>803</v>
      </c>
      <c r="J193" t="s">
        <v>489</v>
      </c>
    </row>
    <row r="194" spans="1:10">
      <c r="A194" t="s">
        <v>28</v>
      </c>
      <c r="B194" t="s">
        <v>16</v>
      </c>
      <c r="C194" t="s">
        <v>678</v>
      </c>
      <c r="D194">
        <v>3455.4293332410002</v>
      </c>
      <c r="F194">
        <v>193</v>
      </c>
      <c r="G194" t="s">
        <v>558</v>
      </c>
      <c r="H194" t="s">
        <v>559</v>
      </c>
      <c r="I194" t="s">
        <v>803</v>
      </c>
      <c r="J194" t="s">
        <v>489</v>
      </c>
    </row>
    <row r="195" spans="1:10">
      <c r="A195" t="s">
        <v>28</v>
      </c>
      <c r="B195" t="s">
        <v>16</v>
      </c>
      <c r="C195" t="s">
        <v>10</v>
      </c>
      <c r="D195">
        <v>79430.394348842005</v>
      </c>
      <c r="E195" s="1"/>
      <c r="F195">
        <v>194</v>
      </c>
      <c r="G195" t="s">
        <v>560</v>
      </c>
      <c r="H195" t="s">
        <v>561</v>
      </c>
      <c r="I195" t="s">
        <v>560</v>
      </c>
      <c r="J195" t="s">
        <v>561</v>
      </c>
    </row>
    <row r="196" spans="1:10">
      <c r="A196" t="s">
        <v>28</v>
      </c>
      <c r="B196" t="s">
        <v>790</v>
      </c>
      <c r="C196" t="s">
        <v>678</v>
      </c>
      <c r="D196">
        <v>0</v>
      </c>
      <c r="F196">
        <v>195</v>
      </c>
      <c r="G196" t="s">
        <v>562</v>
      </c>
      <c r="H196" t="s">
        <v>563</v>
      </c>
      <c r="I196" t="s">
        <v>804</v>
      </c>
      <c r="J196" t="s">
        <v>564</v>
      </c>
    </row>
    <row r="197" spans="1:10">
      <c r="A197" t="s">
        <v>28</v>
      </c>
      <c r="B197" t="s">
        <v>790</v>
      </c>
      <c r="C197" t="s">
        <v>10</v>
      </c>
      <c r="D197">
        <v>0</v>
      </c>
      <c r="F197">
        <v>196</v>
      </c>
      <c r="G197" t="s">
        <v>565</v>
      </c>
      <c r="H197" t="s">
        <v>566</v>
      </c>
      <c r="I197" t="s">
        <v>804</v>
      </c>
      <c r="J197" t="s">
        <v>564</v>
      </c>
    </row>
    <row r="198" spans="1:10">
      <c r="A198" t="s">
        <v>28</v>
      </c>
      <c r="B198" t="s">
        <v>8</v>
      </c>
      <c r="C198" t="s">
        <v>790</v>
      </c>
      <c r="D198">
        <v>0</v>
      </c>
      <c r="F198">
        <v>197</v>
      </c>
      <c r="G198" t="s">
        <v>567</v>
      </c>
      <c r="H198" t="s">
        <v>568</v>
      </c>
      <c r="I198" t="s">
        <v>804</v>
      </c>
      <c r="J198" t="s">
        <v>564</v>
      </c>
    </row>
    <row r="199" spans="1:10">
      <c r="A199" t="s">
        <v>28</v>
      </c>
      <c r="B199" t="s">
        <v>8</v>
      </c>
      <c r="C199" t="s">
        <v>6</v>
      </c>
      <c r="D199">
        <v>14056.02447541</v>
      </c>
      <c r="E199" s="1"/>
      <c r="F199">
        <v>198</v>
      </c>
      <c r="G199" t="s">
        <v>569</v>
      </c>
      <c r="H199" t="s">
        <v>570</v>
      </c>
      <c r="I199" t="s">
        <v>804</v>
      </c>
      <c r="J199" t="s">
        <v>564</v>
      </c>
    </row>
    <row r="200" spans="1:10">
      <c r="A200" t="s">
        <v>28</v>
      </c>
      <c r="B200" t="s">
        <v>15</v>
      </c>
      <c r="C200" t="s">
        <v>6</v>
      </c>
      <c r="D200">
        <v>31448.35</v>
      </c>
      <c r="E200" s="1"/>
      <c r="F200">
        <v>199</v>
      </c>
      <c r="G200" t="s">
        <v>571</v>
      </c>
      <c r="H200" t="s">
        <v>572</v>
      </c>
      <c r="I200" t="s">
        <v>804</v>
      </c>
      <c r="J200" t="s">
        <v>564</v>
      </c>
    </row>
    <row r="201" spans="1:10">
      <c r="A201" t="s">
        <v>28</v>
      </c>
      <c r="B201" t="s">
        <v>5</v>
      </c>
      <c r="C201" t="s">
        <v>6</v>
      </c>
      <c r="D201">
        <v>19170.330000000002</v>
      </c>
      <c r="F201">
        <v>200</v>
      </c>
      <c r="G201" t="s">
        <v>573</v>
      </c>
      <c r="H201" t="s">
        <v>574</v>
      </c>
      <c r="I201" t="s">
        <v>804</v>
      </c>
      <c r="J201" t="s">
        <v>564</v>
      </c>
    </row>
    <row r="202" spans="1:10">
      <c r="A202" t="s">
        <v>28</v>
      </c>
      <c r="B202" t="s">
        <v>15</v>
      </c>
      <c r="C202" t="s">
        <v>5</v>
      </c>
      <c r="D202">
        <v>19170.330000000002</v>
      </c>
      <c r="F202">
        <v>201</v>
      </c>
      <c r="G202" t="s">
        <v>575</v>
      </c>
      <c r="H202" t="s">
        <v>576</v>
      </c>
      <c r="I202" t="s">
        <v>804</v>
      </c>
      <c r="J202" t="s">
        <v>564</v>
      </c>
    </row>
    <row r="203" spans="1:10">
      <c r="A203" t="s">
        <v>28</v>
      </c>
      <c r="B203" t="s">
        <v>6</v>
      </c>
      <c r="C203" t="s">
        <v>8</v>
      </c>
      <c r="D203">
        <v>0</v>
      </c>
      <c r="F203">
        <v>202</v>
      </c>
      <c r="G203" t="s">
        <v>577</v>
      </c>
      <c r="H203" t="s">
        <v>578</v>
      </c>
      <c r="I203" t="s">
        <v>804</v>
      </c>
      <c r="J203" t="s">
        <v>564</v>
      </c>
    </row>
    <row r="204" spans="1:10">
      <c r="A204" t="s">
        <v>28</v>
      </c>
      <c r="B204" t="s">
        <v>15</v>
      </c>
      <c r="C204" t="s">
        <v>16</v>
      </c>
      <c r="D204">
        <v>10450.871349417999</v>
      </c>
      <c r="F204">
        <v>203</v>
      </c>
      <c r="G204" t="s">
        <v>579</v>
      </c>
      <c r="H204" t="s">
        <v>580</v>
      </c>
      <c r="I204" t="s">
        <v>804</v>
      </c>
      <c r="J204" t="s">
        <v>564</v>
      </c>
    </row>
    <row r="205" spans="1:10">
      <c r="A205" t="s">
        <v>28</v>
      </c>
      <c r="B205" t="s">
        <v>8</v>
      </c>
      <c r="C205" t="s">
        <v>15</v>
      </c>
      <c r="D205">
        <v>3.8158006000000001E-2</v>
      </c>
      <c r="E205" s="1"/>
      <c r="F205">
        <v>204</v>
      </c>
      <c r="G205" t="s">
        <v>581</v>
      </c>
      <c r="H205" t="s">
        <v>582</v>
      </c>
      <c r="I205" t="s">
        <v>804</v>
      </c>
      <c r="J205" t="s">
        <v>564</v>
      </c>
    </row>
    <row r="206" spans="1:10">
      <c r="A206" t="s">
        <v>31</v>
      </c>
      <c r="B206" t="s">
        <v>678</v>
      </c>
      <c r="C206" t="s">
        <v>678</v>
      </c>
      <c r="D206">
        <v>19905.347000000002</v>
      </c>
      <c r="F206">
        <v>205</v>
      </c>
      <c r="G206" t="s">
        <v>583</v>
      </c>
      <c r="H206" t="s">
        <v>584</v>
      </c>
      <c r="I206" t="s">
        <v>804</v>
      </c>
      <c r="J206" t="s">
        <v>564</v>
      </c>
    </row>
    <row r="207" spans="1:10">
      <c r="A207" t="s">
        <v>31</v>
      </c>
      <c r="B207" t="s">
        <v>10</v>
      </c>
      <c r="C207" t="s">
        <v>678</v>
      </c>
      <c r="D207">
        <v>40804.495499999997</v>
      </c>
      <c r="F207">
        <v>206</v>
      </c>
      <c r="G207" t="s">
        <v>585</v>
      </c>
      <c r="H207" t="s">
        <v>586</v>
      </c>
      <c r="I207" t="s">
        <v>804</v>
      </c>
      <c r="J207" t="s">
        <v>564</v>
      </c>
    </row>
    <row r="208" spans="1:10">
      <c r="A208" t="s">
        <v>31</v>
      </c>
      <c r="B208" t="s">
        <v>678</v>
      </c>
      <c r="C208" t="s">
        <v>10</v>
      </c>
      <c r="D208">
        <v>104064.96000000001</v>
      </c>
      <c r="F208">
        <v>207</v>
      </c>
      <c r="G208" t="s">
        <v>587</v>
      </c>
      <c r="H208" t="s">
        <v>588</v>
      </c>
      <c r="I208" t="s">
        <v>804</v>
      </c>
      <c r="J208" t="s">
        <v>564</v>
      </c>
    </row>
    <row r="209" spans="1:10">
      <c r="A209" t="s">
        <v>31</v>
      </c>
      <c r="B209" t="s">
        <v>10</v>
      </c>
      <c r="C209" t="s">
        <v>10</v>
      </c>
      <c r="D209">
        <v>3393838.2</v>
      </c>
      <c r="E209" s="1"/>
      <c r="F209">
        <v>208</v>
      </c>
      <c r="G209" t="s">
        <v>589</v>
      </c>
      <c r="H209" t="s">
        <v>590</v>
      </c>
      <c r="I209" t="s">
        <v>804</v>
      </c>
      <c r="J209" t="s">
        <v>564</v>
      </c>
    </row>
    <row r="210" spans="1:10">
      <c r="A210" t="s">
        <v>31</v>
      </c>
      <c r="B210" t="s">
        <v>11</v>
      </c>
      <c r="C210" t="s">
        <v>678</v>
      </c>
      <c r="D210">
        <v>3474.9967000000001</v>
      </c>
      <c r="F210">
        <v>209</v>
      </c>
      <c r="G210" t="s">
        <v>591</v>
      </c>
      <c r="H210" t="s">
        <v>592</v>
      </c>
      <c r="I210" t="s">
        <v>804</v>
      </c>
      <c r="J210" t="s">
        <v>564</v>
      </c>
    </row>
    <row r="211" spans="1:10">
      <c r="A211" t="s">
        <v>31</v>
      </c>
      <c r="B211" t="s">
        <v>11</v>
      </c>
      <c r="C211" t="s">
        <v>10</v>
      </c>
      <c r="D211">
        <v>241088.95199999999</v>
      </c>
      <c r="F211">
        <v>210</v>
      </c>
      <c r="G211" t="s">
        <v>593</v>
      </c>
      <c r="H211" t="s">
        <v>594</v>
      </c>
      <c r="I211" t="s">
        <v>804</v>
      </c>
      <c r="J211" t="s">
        <v>564</v>
      </c>
    </row>
    <row r="212" spans="1:10">
      <c r="A212" t="s">
        <v>31</v>
      </c>
      <c r="B212" t="s">
        <v>678</v>
      </c>
      <c r="C212" t="s">
        <v>6</v>
      </c>
      <c r="D212">
        <v>36739.116999999998</v>
      </c>
      <c r="F212">
        <v>211</v>
      </c>
      <c r="G212" t="s">
        <v>595</v>
      </c>
      <c r="H212" t="s">
        <v>596</v>
      </c>
      <c r="I212" t="s">
        <v>804</v>
      </c>
      <c r="J212" t="s">
        <v>564</v>
      </c>
    </row>
    <row r="213" spans="1:10">
      <c r="A213" t="s">
        <v>31</v>
      </c>
      <c r="B213" t="s">
        <v>10</v>
      </c>
      <c r="C213" t="s">
        <v>6</v>
      </c>
      <c r="D213">
        <v>2292610.0499999998</v>
      </c>
      <c r="F213">
        <v>212</v>
      </c>
      <c r="G213" t="s">
        <v>597</v>
      </c>
      <c r="H213" t="s">
        <v>598</v>
      </c>
      <c r="I213" t="s">
        <v>804</v>
      </c>
      <c r="J213" t="s">
        <v>564</v>
      </c>
    </row>
    <row r="214" spans="1:10">
      <c r="A214" t="s">
        <v>31</v>
      </c>
      <c r="B214" t="s">
        <v>11</v>
      </c>
      <c r="C214" t="s">
        <v>6</v>
      </c>
      <c r="D214">
        <v>203274.39199999999</v>
      </c>
      <c r="F214">
        <v>213</v>
      </c>
      <c r="G214" t="s">
        <v>599</v>
      </c>
      <c r="H214" t="s">
        <v>600</v>
      </c>
      <c r="I214" t="s">
        <v>804</v>
      </c>
      <c r="J214" t="s">
        <v>564</v>
      </c>
    </row>
    <row r="215" spans="1:10">
      <c r="A215" t="s">
        <v>31</v>
      </c>
      <c r="B215" t="s">
        <v>678</v>
      </c>
      <c r="C215" t="s">
        <v>8</v>
      </c>
      <c r="D215">
        <v>0.10843964</v>
      </c>
      <c r="F215">
        <v>214</v>
      </c>
      <c r="G215" t="s">
        <v>601</v>
      </c>
      <c r="H215" t="s">
        <v>602</v>
      </c>
      <c r="I215" t="s">
        <v>804</v>
      </c>
      <c r="J215" t="s">
        <v>564</v>
      </c>
    </row>
    <row r="216" spans="1:10">
      <c r="A216" t="s">
        <v>31</v>
      </c>
      <c r="B216" t="s">
        <v>10</v>
      </c>
      <c r="C216" t="s">
        <v>8</v>
      </c>
      <c r="D216">
        <v>412367.15473000001</v>
      </c>
      <c r="F216">
        <v>215</v>
      </c>
      <c r="G216" t="s">
        <v>603</v>
      </c>
      <c r="H216" t="s">
        <v>604</v>
      </c>
      <c r="I216" t="s">
        <v>804</v>
      </c>
      <c r="J216" t="s">
        <v>564</v>
      </c>
    </row>
    <row r="217" spans="1:10">
      <c r="A217" t="s">
        <v>31</v>
      </c>
      <c r="B217" t="s">
        <v>11</v>
      </c>
      <c r="C217" t="s">
        <v>8</v>
      </c>
      <c r="D217">
        <v>160.68029999999999</v>
      </c>
      <c r="F217">
        <v>216</v>
      </c>
      <c r="G217" t="s">
        <v>605</v>
      </c>
      <c r="H217" t="s">
        <v>606</v>
      </c>
      <c r="I217" t="s">
        <v>804</v>
      </c>
      <c r="J217" t="s">
        <v>564</v>
      </c>
    </row>
    <row r="218" spans="1:10">
      <c r="A218" t="s">
        <v>31</v>
      </c>
      <c r="B218" t="s">
        <v>678</v>
      </c>
      <c r="C218" t="s">
        <v>15</v>
      </c>
      <c r="D218">
        <v>1556.65121</v>
      </c>
      <c r="F218">
        <v>217</v>
      </c>
      <c r="G218" t="s">
        <v>607</v>
      </c>
      <c r="H218" t="s">
        <v>608</v>
      </c>
      <c r="I218" t="s">
        <v>804</v>
      </c>
      <c r="J218" t="s">
        <v>564</v>
      </c>
    </row>
    <row r="219" spans="1:10">
      <c r="A219" t="s">
        <v>31</v>
      </c>
      <c r="B219" t="s">
        <v>10</v>
      </c>
      <c r="C219" t="s">
        <v>15</v>
      </c>
      <c r="D219">
        <v>1185288.8799999999</v>
      </c>
      <c r="F219">
        <v>218</v>
      </c>
      <c r="G219" t="s">
        <v>609</v>
      </c>
      <c r="H219" t="s">
        <v>610</v>
      </c>
      <c r="I219" t="s">
        <v>804</v>
      </c>
      <c r="J219" t="s">
        <v>564</v>
      </c>
    </row>
    <row r="220" spans="1:10">
      <c r="A220" t="s">
        <v>31</v>
      </c>
      <c r="B220" t="s">
        <v>11</v>
      </c>
      <c r="C220" t="s">
        <v>15</v>
      </c>
      <c r="D220">
        <v>35545.458229000003</v>
      </c>
      <c r="F220">
        <v>219</v>
      </c>
      <c r="G220" t="s">
        <v>611</v>
      </c>
      <c r="H220" t="s">
        <v>612</v>
      </c>
      <c r="I220" t="s">
        <v>804</v>
      </c>
      <c r="J220" t="s">
        <v>564</v>
      </c>
    </row>
    <row r="221" spans="1:10">
      <c r="A221" t="s">
        <v>31</v>
      </c>
      <c r="B221" t="s">
        <v>8</v>
      </c>
      <c r="C221" t="s">
        <v>11</v>
      </c>
      <c r="D221">
        <v>483544.47923</v>
      </c>
      <c r="F221">
        <v>220</v>
      </c>
      <c r="G221" t="s">
        <v>613</v>
      </c>
      <c r="H221" t="s">
        <v>614</v>
      </c>
      <c r="I221" t="s">
        <v>804</v>
      </c>
      <c r="J221" t="s">
        <v>564</v>
      </c>
    </row>
    <row r="222" spans="1:10">
      <c r="A222" t="s">
        <v>31</v>
      </c>
      <c r="B222" t="s">
        <v>678</v>
      </c>
      <c r="C222" t="s">
        <v>7</v>
      </c>
      <c r="D222">
        <v>148.213053798</v>
      </c>
      <c r="F222">
        <v>221</v>
      </c>
      <c r="G222" t="s">
        <v>615</v>
      </c>
      <c r="H222" t="s">
        <v>616</v>
      </c>
      <c r="I222" t="s">
        <v>804</v>
      </c>
      <c r="J222" t="s">
        <v>564</v>
      </c>
    </row>
    <row r="223" spans="1:10">
      <c r="A223" t="s">
        <v>31</v>
      </c>
      <c r="B223" t="s">
        <v>10</v>
      </c>
      <c r="C223" t="s">
        <v>7</v>
      </c>
      <c r="D223">
        <v>6242.122496</v>
      </c>
      <c r="F223">
        <v>222</v>
      </c>
      <c r="G223" t="s">
        <v>617</v>
      </c>
      <c r="H223" t="s">
        <v>618</v>
      </c>
      <c r="I223" t="s">
        <v>804</v>
      </c>
      <c r="J223" t="s">
        <v>564</v>
      </c>
    </row>
    <row r="224" spans="1:10">
      <c r="A224" t="s">
        <v>31</v>
      </c>
      <c r="B224" t="s">
        <v>7</v>
      </c>
      <c r="C224" t="s">
        <v>8</v>
      </c>
      <c r="D224">
        <v>6390.3355497980001</v>
      </c>
      <c r="F224">
        <v>223</v>
      </c>
      <c r="G224" t="s">
        <v>619</v>
      </c>
      <c r="H224" t="s">
        <v>620</v>
      </c>
      <c r="I224" t="s">
        <v>804</v>
      </c>
      <c r="J224" t="s">
        <v>564</v>
      </c>
    </row>
    <row r="225" spans="1:10">
      <c r="A225" t="s">
        <v>31</v>
      </c>
      <c r="B225" t="s">
        <v>678</v>
      </c>
      <c r="C225" t="s">
        <v>16</v>
      </c>
      <c r="D225">
        <v>3466.9831929000002</v>
      </c>
      <c r="F225">
        <v>224</v>
      </c>
      <c r="G225" t="s">
        <v>621</v>
      </c>
      <c r="H225" t="s">
        <v>622</v>
      </c>
      <c r="I225" t="s">
        <v>804</v>
      </c>
      <c r="J225" t="s">
        <v>564</v>
      </c>
    </row>
    <row r="226" spans="1:10">
      <c r="A226" t="s">
        <v>31</v>
      </c>
      <c r="B226" t="s">
        <v>10</v>
      </c>
      <c r="C226" t="s">
        <v>16</v>
      </c>
      <c r="D226">
        <v>531681.43680999998</v>
      </c>
      <c r="F226">
        <v>225</v>
      </c>
      <c r="G226" t="s">
        <v>623</v>
      </c>
      <c r="H226" t="s">
        <v>624</v>
      </c>
      <c r="I226" t="s">
        <v>804</v>
      </c>
      <c r="J226" t="s">
        <v>564</v>
      </c>
    </row>
    <row r="227" spans="1:10">
      <c r="A227" t="s">
        <v>31</v>
      </c>
      <c r="B227" t="s">
        <v>678</v>
      </c>
      <c r="C227" t="s">
        <v>17</v>
      </c>
      <c r="D227">
        <v>0</v>
      </c>
      <c r="F227">
        <v>226</v>
      </c>
      <c r="G227" t="s">
        <v>625</v>
      </c>
      <c r="H227" t="s">
        <v>626</v>
      </c>
      <c r="I227" t="s">
        <v>804</v>
      </c>
      <c r="J227" t="s">
        <v>564</v>
      </c>
    </row>
    <row r="228" spans="1:10">
      <c r="A228" t="s">
        <v>31</v>
      </c>
      <c r="B228" t="s">
        <v>10</v>
      </c>
      <c r="C228" t="s">
        <v>17</v>
      </c>
      <c r="D228">
        <v>13011.08</v>
      </c>
      <c r="F228">
        <v>227</v>
      </c>
      <c r="G228" t="s">
        <v>627</v>
      </c>
      <c r="H228" t="s">
        <v>628</v>
      </c>
      <c r="I228" t="s">
        <v>804</v>
      </c>
      <c r="J228" t="s">
        <v>564</v>
      </c>
    </row>
    <row r="229" spans="1:10">
      <c r="A229" t="s">
        <v>31</v>
      </c>
      <c r="B229" t="s">
        <v>17</v>
      </c>
      <c r="C229" t="s">
        <v>16</v>
      </c>
      <c r="D229">
        <v>13011.08</v>
      </c>
      <c r="F229">
        <v>228</v>
      </c>
      <c r="G229" t="s">
        <v>629</v>
      </c>
      <c r="H229" t="s">
        <v>630</v>
      </c>
      <c r="I229" t="s">
        <v>804</v>
      </c>
      <c r="J229" t="s">
        <v>564</v>
      </c>
    </row>
    <row r="230" spans="1:10">
      <c r="A230" t="s">
        <v>31</v>
      </c>
      <c r="B230" t="s">
        <v>14</v>
      </c>
      <c r="C230" t="s">
        <v>678</v>
      </c>
      <c r="D230">
        <v>30662.27</v>
      </c>
      <c r="F230">
        <v>229</v>
      </c>
      <c r="G230" t="s">
        <v>631</v>
      </c>
      <c r="H230" t="s">
        <v>632</v>
      </c>
      <c r="I230" t="s">
        <v>804</v>
      </c>
      <c r="J230" t="s">
        <v>564</v>
      </c>
    </row>
    <row r="231" spans="1:10">
      <c r="A231" t="s">
        <v>31</v>
      </c>
      <c r="B231" t="s">
        <v>14</v>
      </c>
      <c r="C231" t="s">
        <v>10</v>
      </c>
      <c r="D231">
        <v>1984979</v>
      </c>
      <c r="F231">
        <v>230</v>
      </c>
      <c r="G231" t="s">
        <v>633</v>
      </c>
      <c r="H231" t="s">
        <v>634</v>
      </c>
      <c r="I231" t="s">
        <v>804</v>
      </c>
      <c r="J231" t="s">
        <v>564</v>
      </c>
    </row>
    <row r="232" spans="1:10">
      <c r="A232" t="s">
        <v>31</v>
      </c>
      <c r="B232" t="s">
        <v>6</v>
      </c>
      <c r="C232" t="s">
        <v>14</v>
      </c>
      <c r="D232">
        <v>2015641.27</v>
      </c>
      <c r="F232">
        <v>231</v>
      </c>
      <c r="G232" t="s">
        <v>635</v>
      </c>
      <c r="H232" t="s">
        <v>636</v>
      </c>
      <c r="I232" t="s">
        <v>804</v>
      </c>
      <c r="J232" t="s">
        <v>564</v>
      </c>
    </row>
    <row r="233" spans="1:10">
      <c r="A233" t="s">
        <v>31</v>
      </c>
      <c r="B233" t="s">
        <v>8</v>
      </c>
      <c r="C233" t="s">
        <v>14</v>
      </c>
      <c r="D233">
        <v>0</v>
      </c>
      <c r="F233">
        <v>232</v>
      </c>
      <c r="G233" t="s">
        <v>637</v>
      </c>
      <c r="H233" t="s">
        <v>638</v>
      </c>
      <c r="I233" t="s">
        <v>804</v>
      </c>
      <c r="J233" t="s">
        <v>564</v>
      </c>
    </row>
    <row r="234" spans="1:10">
      <c r="A234" t="s">
        <v>31</v>
      </c>
      <c r="B234" t="s">
        <v>9</v>
      </c>
      <c r="C234" t="s">
        <v>678</v>
      </c>
      <c r="D234">
        <v>13888.225</v>
      </c>
      <c r="F234">
        <v>233</v>
      </c>
      <c r="G234" t="s">
        <v>639</v>
      </c>
      <c r="H234" t="s">
        <v>640</v>
      </c>
      <c r="I234" t="s">
        <v>804</v>
      </c>
      <c r="J234" t="s">
        <v>564</v>
      </c>
    </row>
    <row r="235" spans="1:10">
      <c r="A235" t="s">
        <v>31</v>
      </c>
      <c r="B235" t="s">
        <v>9</v>
      </c>
      <c r="C235" t="s">
        <v>10</v>
      </c>
      <c r="D235">
        <v>1355.9190000000001</v>
      </c>
      <c r="F235">
        <v>234</v>
      </c>
      <c r="G235" t="s">
        <v>641</v>
      </c>
      <c r="H235" t="s">
        <v>642</v>
      </c>
      <c r="I235" t="s">
        <v>804</v>
      </c>
      <c r="J235" t="s">
        <v>564</v>
      </c>
    </row>
    <row r="236" spans="1:10">
      <c r="A236" t="s">
        <v>31</v>
      </c>
      <c r="B236" t="s">
        <v>6</v>
      </c>
      <c r="C236" t="s">
        <v>9</v>
      </c>
      <c r="D236">
        <v>15244.144</v>
      </c>
      <c r="F236">
        <v>235</v>
      </c>
      <c r="G236" t="s">
        <v>643</v>
      </c>
      <c r="H236" t="s">
        <v>644</v>
      </c>
      <c r="I236" t="s">
        <v>804</v>
      </c>
      <c r="J236" t="s">
        <v>564</v>
      </c>
    </row>
    <row r="237" spans="1:10">
      <c r="A237" t="s">
        <v>31</v>
      </c>
      <c r="B237" t="s">
        <v>13</v>
      </c>
      <c r="C237" t="s">
        <v>678</v>
      </c>
      <c r="D237">
        <v>20923.05</v>
      </c>
      <c r="F237">
        <v>236</v>
      </c>
      <c r="G237" t="s">
        <v>645</v>
      </c>
      <c r="H237" t="s">
        <v>646</v>
      </c>
      <c r="I237" t="s">
        <v>804</v>
      </c>
      <c r="J237" t="s">
        <v>564</v>
      </c>
    </row>
    <row r="238" spans="1:10">
      <c r="A238" t="s">
        <v>31</v>
      </c>
      <c r="B238" t="s">
        <v>13</v>
      </c>
      <c r="C238" t="s">
        <v>10</v>
      </c>
      <c r="D238">
        <v>1340785</v>
      </c>
      <c r="F238">
        <v>237</v>
      </c>
      <c r="G238" t="s">
        <v>647</v>
      </c>
      <c r="H238" t="s">
        <v>648</v>
      </c>
      <c r="I238" t="s">
        <v>804</v>
      </c>
      <c r="J238" t="s">
        <v>564</v>
      </c>
    </row>
    <row r="239" spans="1:10">
      <c r="A239" t="s">
        <v>31</v>
      </c>
      <c r="B239" t="s">
        <v>6</v>
      </c>
      <c r="C239" t="s">
        <v>13</v>
      </c>
      <c r="D239">
        <v>1361708.05</v>
      </c>
      <c r="F239">
        <v>238</v>
      </c>
      <c r="G239" t="s">
        <v>649</v>
      </c>
      <c r="H239" t="s">
        <v>650</v>
      </c>
      <c r="I239" t="s">
        <v>804</v>
      </c>
      <c r="J239" t="s">
        <v>564</v>
      </c>
    </row>
    <row r="240" spans="1:10">
      <c r="A240" t="s">
        <v>31</v>
      </c>
      <c r="B240" t="s">
        <v>8</v>
      </c>
      <c r="C240" t="s">
        <v>678</v>
      </c>
      <c r="D240">
        <v>-667.83818820199997</v>
      </c>
    </row>
    <row r="241" spans="1:5">
      <c r="A241" t="s">
        <v>31</v>
      </c>
      <c r="B241" t="s">
        <v>8</v>
      </c>
      <c r="C241" t="s">
        <v>10</v>
      </c>
      <c r="D241">
        <v>427090.71830000001</v>
      </c>
      <c r="E241" s="1"/>
    </row>
    <row r="242" spans="1:5">
      <c r="A242" t="s">
        <v>31</v>
      </c>
      <c r="B242" t="s">
        <v>12</v>
      </c>
      <c r="C242" t="s">
        <v>678</v>
      </c>
      <c r="D242">
        <v>14495.383440785001</v>
      </c>
    </row>
    <row r="243" spans="1:5">
      <c r="A243" t="s">
        <v>31</v>
      </c>
      <c r="B243" t="s">
        <v>12</v>
      </c>
      <c r="C243" t="s">
        <v>10</v>
      </c>
      <c r="D243">
        <v>22435.104905</v>
      </c>
    </row>
    <row r="244" spans="1:5">
      <c r="A244" t="s">
        <v>31</v>
      </c>
      <c r="B244" t="s">
        <v>8</v>
      </c>
      <c r="C244" t="s">
        <v>12</v>
      </c>
      <c r="D244">
        <v>36930.488345785001</v>
      </c>
    </row>
    <row r="245" spans="1:5">
      <c r="A245" t="s">
        <v>31</v>
      </c>
      <c r="B245" t="s">
        <v>16</v>
      </c>
      <c r="C245" t="s">
        <v>678</v>
      </c>
      <c r="D245">
        <v>22395.443811319001</v>
      </c>
    </row>
    <row r="246" spans="1:5">
      <c r="A246" t="s">
        <v>31</v>
      </c>
      <c r="B246" t="s">
        <v>16</v>
      </c>
      <c r="C246" t="s">
        <v>10</v>
      </c>
      <c r="D246">
        <v>360205.56624999997</v>
      </c>
    </row>
    <row r="247" spans="1:5">
      <c r="A247" t="s">
        <v>31</v>
      </c>
      <c r="B247" t="s">
        <v>790</v>
      </c>
      <c r="C247" t="s">
        <v>678</v>
      </c>
      <c r="D247">
        <v>0</v>
      </c>
    </row>
    <row r="248" spans="1:5">
      <c r="A248" t="s">
        <v>31</v>
      </c>
      <c r="B248" t="s">
        <v>790</v>
      </c>
      <c r="C248" t="s">
        <v>10</v>
      </c>
      <c r="D248">
        <v>0</v>
      </c>
    </row>
    <row r="249" spans="1:5">
      <c r="A249" t="s">
        <v>31</v>
      </c>
      <c r="B249" t="s">
        <v>8</v>
      </c>
      <c r="C249" t="s">
        <v>790</v>
      </c>
      <c r="D249">
        <v>0</v>
      </c>
    </row>
    <row r="250" spans="1:5">
      <c r="A250" t="s">
        <v>31</v>
      </c>
      <c r="B250" t="s">
        <v>8</v>
      </c>
      <c r="C250" t="s">
        <v>6</v>
      </c>
      <c r="D250">
        <v>-527979.19499999995</v>
      </c>
    </row>
    <row r="251" spans="1:5">
      <c r="A251" t="s">
        <v>31</v>
      </c>
      <c r="B251" t="s">
        <v>15</v>
      </c>
      <c r="C251" t="s">
        <v>6</v>
      </c>
      <c r="D251">
        <v>781445.4</v>
      </c>
    </row>
    <row r="252" spans="1:5">
      <c r="A252" t="s">
        <v>31</v>
      </c>
      <c r="B252" t="s">
        <v>5</v>
      </c>
      <c r="C252" t="s">
        <v>6</v>
      </c>
      <c r="D252">
        <v>606503.69999999995</v>
      </c>
    </row>
    <row r="253" spans="1:5">
      <c r="A253" t="s">
        <v>31</v>
      </c>
      <c r="B253" t="s">
        <v>15</v>
      </c>
      <c r="C253" t="s">
        <v>5</v>
      </c>
      <c r="D253">
        <v>606503.69999999995</v>
      </c>
    </row>
    <row r="254" spans="1:5">
      <c r="A254" t="s">
        <v>31</v>
      </c>
      <c r="B254" t="s">
        <v>6</v>
      </c>
      <c r="C254" t="s">
        <v>8</v>
      </c>
      <c r="D254">
        <v>0</v>
      </c>
    </row>
    <row r="255" spans="1:5">
      <c r="A255" t="s">
        <v>31</v>
      </c>
      <c r="B255" t="s">
        <v>16</v>
      </c>
      <c r="C255" t="s">
        <v>15</v>
      </c>
      <c r="D255">
        <v>165558.48994</v>
      </c>
    </row>
    <row r="256" spans="1:5">
      <c r="A256" t="s">
        <v>31</v>
      </c>
      <c r="B256" t="s">
        <v>15</v>
      </c>
      <c r="C256" t="s">
        <v>8</v>
      </c>
      <c r="D256">
        <v>0.37367203799999998</v>
      </c>
      <c r="E256" s="1"/>
    </row>
    <row r="257" spans="1:5">
      <c r="A257" t="s">
        <v>32</v>
      </c>
      <c r="B257" t="s">
        <v>678</v>
      </c>
      <c r="C257" t="s">
        <v>678</v>
      </c>
      <c r="D257">
        <v>1738.7331999999999</v>
      </c>
    </row>
    <row r="258" spans="1:5">
      <c r="A258" t="s">
        <v>32</v>
      </c>
      <c r="B258" t="s">
        <v>10</v>
      </c>
      <c r="C258" t="s">
        <v>678</v>
      </c>
      <c r="D258">
        <v>11134.476500000001</v>
      </c>
    </row>
    <row r="259" spans="1:5">
      <c r="A259" t="s">
        <v>32</v>
      </c>
      <c r="B259" t="s">
        <v>678</v>
      </c>
      <c r="C259" t="s">
        <v>10</v>
      </c>
      <c r="D259">
        <v>28403.33</v>
      </c>
    </row>
    <row r="260" spans="1:5">
      <c r="A260" t="s">
        <v>32</v>
      </c>
      <c r="B260" t="s">
        <v>10</v>
      </c>
      <c r="C260" t="s">
        <v>10</v>
      </c>
      <c r="D260">
        <v>527982.80000000005</v>
      </c>
      <c r="E260" s="1"/>
    </row>
    <row r="261" spans="1:5">
      <c r="A261" t="s">
        <v>32</v>
      </c>
      <c r="B261" t="s">
        <v>11</v>
      </c>
      <c r="C261" t="s">
        <v>678</v>
      </c>
      <c r="D261">
        <v>23.572420999999999</v>
      </c>
    </row>
    <row r="262" spans="1:5">
      <c r="A262" t="s">
        <v>32</v>
      </c>
      <c r="B262" t="s">
        <v>11</v>
      </c>
      <c r="C262" t="s">
        <v>10</v>
      </c>
      <c r="D262">
        <v>4915.05368</v>
      </c>
    </row>
    <row r="263" spans="1:5">
      <c r="A263" t="s">
        <v>32</v>
      </c>
      <c r="B263" t="s">
        <v>678</v>
      </c>
      <c r="C263" t="s">
        <v>6</v>
      </c>
      <c r="D263">
        <v>17164.41</v>
      </c>
    </row>
    <row r="264" spans="1:5">
      <c r="A264" t="s">
        <v>32</v>
      </c>
      <c r="B264" t="s">
        <v>10</v>
      </c>
      <c r="C264" t="s">
        <v>6</v>
      </c>
      <c r="D264">
        <v>218485.51</v>
      </c>
    </row>
    <row r="265" spans="1:5">
      <c r="A265" t="s">
        <v>32</v>
      </c>
      <c r="B265" t="s">
        <v>11</v>
      </c>
      <c r="C265" t="s">
        <v>6</v>
      </c>
      <c r="D265">
        <v>1683.606665</v>
      </c>
    </row>
    <row r="266" spans="1:5">
      <c r="A266" t="s">
        <v>32</v>
      </c>
      <c r="B266" t="s">
        <v>678</v>
      </c>
      <c r="C266" t="s">
        <v>8</v>
      </c>
      <c r="D266">
        <v>1.7240485E-2</v>
      </c>
    </row>
    <row r="267" spans="1:5">
      <c r="A267" t="s">
        <v>32</v>
      </c>
      <c r="B267" t="s">
        <v>10</v>
      </c>
      <c r="C267" t="s">
        <v>8</v>
      </c>
      <c r="D267">
        <v>49288.232560320001</v>
      </c>
    </row>
    <row r="268" spans="1:5">
      <c r="A268" t="s">
        <v>32</v>
      </c>
      <c r="B268" t="s">
        <v>11</v>
      </c>
      <c r="C268" t="s">
        <v>8</v>
      </c>
      <c r="D268">
        <v>0</v>
      </c>
    </row>
    <row r="269" spans="1:5">
      <c r="A269" t="s">
        <v>32</v>
      </c>
      <c r="B269" t="s">
        <v>678</v>
      </c>
      <c r="C269" t="s">
        <v>15</v>
      </c>
      <c r="D269">
        <v>110.72478</v>
      </c>
    </row>
    <row r="270" spans="1:5">
      <c r="A270" t="s">
        <v>32</v>
      </c>
      <c r="B270" t="s">
        <v>10</v>
      </c>
      <c r="C270" t="s">
        <v>15</v>
      </c>
      <c r="D270">
        <v>152189.70000000001</v>
      </c>
    </row>
    <row r="271" spans="1:5">
      <c r="A271" t="s">
        <v>32</v>
      </c>
      <c r="B271" t="s">
        <v>11</v>
      </c>
      <c r="C271" t="s">
        <v>15</v>
      </c>
      <c r="D271">
        <v>2584.2086270999998</v>
      </c>
    </row>
    <row r="272" spans="1:5">
      <c r="A272" t="s">
        <v>32</v>
      </c>
      <c r="B272" t="s">
        <v>8</v>
      </c>
      <c r="C272" t="s">
        <v>11</v>
      </c>
      <c r="D272">
        <v>9206.4413930999999</v>
      </c>
    </row>
    <row r="273" spans="1:4">
      <c r="A273" t="s">
        <v>32</v>
      </c>
      <c r="B273" t="s">
        <v>678</v>
      </c>
      <c r="C273" t="s">
        <v>7</v>
      </c>
      <c r="D273">
        <v>74.497841597999994</v>
      </c>
    </row>
    <row r="274" spans="1:4">
      <c r="A274" t="s">
        <v>32</v>
      </c>
      <c r="B274" t="s">
        <v>10</v>
      </c>
      <c r="C274" t="s">
        <v>7</v>
      </c>
      <c r="D274">
        <v>963.50552507999998</v>
      </c>
    </row>
    <row r="275" spans="1:4">
      <c r="A275" t="s">
        <v>32</v>
      </c>
      <c r="B275" t="s">
        <v>7</v>
      </c>
      <c r="C275" t="s">
        <v>8</v>
      </c>
      <c r="D275">
        <v>1038.003366678</v>
      </c>
    </row>
    <row r="276" spans="1:4">
      <c r="A276" t="s">
        <v>32</v>
      </c>
      <c r="B276" t="s">
        <v>678</v>
      </c>
      <c r="C276" t="s">
        <v>16</v>
      </c>
      <c r="D276">
        <v>939.79042188999995</v>
      </c>
    </row>
    <row r="277" spans="1:4">
      <c r="A277" t="s">
        <v>32</v>
      </c>
      <c r="B277" t="s">
        <v>10</v>
      </c>
      <c r="C277" t="s">
        <v>16</v>
      </c>
      <c r="D277">
        <v>154907.38690000001</v>
      </c>
    </row>
    <row r="278" spans="1:4">
      <c r="A278" t="s">
        <v>32</v>
      </c>
      <c r="B278" t="s">
        <v>678</v>
      </c>
      <c r="C278" t="s">
        <v>17</v>
      </c>
      <c r="D278">
        <v>0</v>
      </c>
    </row>
    <row r="279" spans="1:4">
      <c r="A279" t="s">
        <v>32</v>
      </c>
      <c r="B279" t="s">
        <v>10</v>
      </c>
      <c r="C279" t="s">
        <v>17</v>
      </c>
      <c r="D279">
        <v>10894.84</v>
      </c>
    </row>
    <row r="280" spans="1:4">
      <c r="A280" t="s">
        <v>32</v>
      </c>
      <c r="B280" t="s">
        <v>17</v>
      </c>
      <c r="C280" t="s">
        <v>16</v>
      </c>
      <c r="D280">
        <v>10894.84</v>
      </c>
    </row>
    <row r="281" spans="1:4">
      <c r="A281" t="s">
        <v>32</v>
      </c>
      <c r="B281" t="s">
        <v>14</v>
      </c>
      <c r="C281" t="s">
        <v>678</v>
      </c>
      <c r="D281">
        <v>8406.5840000000007</v>
      </c>
    </row>
    <row r="282" spans="1:4">
      <c r="A282" t="s">
        <v>32</v>
      </c>
      <c r="B282" t="s">
        <v>14</v>
      </c>
      <c r="C282" t="s">
        <v>10</v>
      </c>
      <c r="D282">
        <v>202815.7</v>
      </c>
    </row>
    <row r="283" spans="1:4">
      <c r="A283" t="s">
        <v>32</v>
      </c>
      <c r="B283" t="s">
        <v>6</v>
      </c>
      <c r="C283" t="s">
        <v>14</v>
      </c>
      <c r="D283">
        <v>211222.28400000001</v>
      </c>
    </row>
    <row r="284" spans="1:4">
      <c r="A284" t="s">
        <v>32</v>
      </c>
      <c r="B284" t="s">
        <v>8</v>
      </c>
      <c r="C284" t="s">
        <v>14</v>
      </c>
      <c r="D284">
        <v>0</v>
      </c>
    </row>
    <row r="285" spans="1:4">
      <c r="A285" t="s">
        <v>32</v>
      </c>
      <c r="B285" t="s">
        <v>9</v>
      </c>
      <c r="C285" t="s">
        <v>678</v>
      </c>
      <c r="D285">
        <v>10772.686</v>
      </c>
    </row>
    <row r="286" spans="1:4">
      <c r="A286" t="s">
        <v>32</v>
      </c>
      <c r="B286" t="s">
        <v>9</v>
      </c>
      <c r="C286" t="s">
        <v>10</v>
      </c>
      <c r="D286">
        <v>276.74599999999998</v>
      </c>
    </row>
    <row r="287" spans="1:4">
      <c r="A287" t="s">
        <v>32</v>
      </c>
      <c r="B287" t="s">
        <v>6</v>
      </c>
      <c r="C287" t="s">
        <v>9</v>
      </c>
      <c r="D287">
        <v>11049.432000000001</v>
      </c>
    </row>
    <row r="288" spans="1:4">
      <c r="A288" t="s">
        <v>32</v>
      </c>
      <c r="B288" t="s">
        <v>13</v>
      </c>
      <c r="C288" t="s">
        <v>678</v>
      </c>
      <c r="D288">
        <v>3092.0360000000001</v>
      </c>
    </row>
    <row r="289" spans="1:5">
      <c r="A289" t="s">
        <v>32</v>
      </c>
      <c r="B289" t="s">
        <v>13</v>
      </c>
      <c r="C289" t="s">
        <v>10</v>
      </c>
      <c r="D289">
        <v>162403.4</v>
      </c>
    </row>
    <row r="290" spans="1:5">
      <c r="A290" t="s">
        <v>32</v>
      </c>
      <c r="B290" t="s">
        <v>6</v>
      </c>
      <c r="C290" t="s">
        <v>13</v>
      </c>
      <c r="D290">
        <v>165495.43599999999</v>
      </c>
    </row>
    <row r="291" spans="1:5">
      <c r="A291" t="s">
        <v>32</v>
      </c>
      <c r="B291" t="s">
        <v>8</v>
      </c>
      <c r="C291" t="s">
        <v>678</v>
      </c>
      <c r="D291">
        <v>-546.79362212199999</v>
      </c>
    </row>
    <row r="292" spans="1:5">
      <c r="A292" t="s">
        <v>32</v>
      </c>
      <c r="B292" t="s">
        <v>8</v>
      </c>
      <c r="C292" t="s">
        <v>10</v>
      </c>
      <c r="D292">
        <v>36213.062744937997</v>
      </c>
      <c r="E292" s="1"/>
    </row>
    <row r="293" spans="1:5">
      <c r="A293" t="s">
        <v>32</v>
      </c>
      <c r="B293" t="s">
        <v>12</v>
      </c>
      <c r="C293" t="s">
        <v>678</v>
      </c>
      <c r="D293">
        <v>7834.0297713059999</v>
      </c>
    </row>
    <row r="294" spans="1:5">
      <c r="A294" t="s">
        <v>32</v>
      </c>
      <c r="B294" t="s">
        <v>12</v>
      </c>
      <c r="C294" t="s">
        <v>10</v>
      </c>
      <c r="D294">
        <v>14661.278348897</v>
      </c>
    </row>
    <row r="295" spans="1:5">
      <c r="A295" t="s">
        <v>32</v>
      </c>
      <c r="B295" t="s">
        <v>8</v>
      </c>
      <c r="C295" t="s">
        <v>12</v>
      </c>
      <c r="D295">
        <v>22495.308120203001</v>
      </c>
    </row>
    <row r="296" spans="1:5">
      <c r="A296" t="s">
        <v>32</v>
      </c>
      <c r="B296" t="s">
        <v>16</v>
      </c>
      <c r="C296" t="s">
        <v>678</v>
      </c>
      <c r="D296">
        <v>5976.1840914710001</v>
      </c>
    </row>
    <row r="297" spans="1:5">
      <c r="A297" t="s">
        <v>32</v>
      </c>
      <c r="B297" t="s">
        <v>16</v>
      </c>
      <c r="C297" t="s">
        <v>10</v>
      </c>
      <c r="D297">
        <v>148175.07711000001</v>
      </c>
    </row>
    <row r="298" spans="1:5">
      <c r="A298" t="s">
        <v>32</v>
      </c>
      <c r="B298" t="s">
        <v>790</v>
      </c>
      <c r="C298" t="s">
        <v>678</v>
      </c>
      <c r="D298">
        <v>0</v>
      </c>
    </row>
    <row r="299" spans="1:5">
      <c r="A299" t="s">
        <v>32</v>
      </c>
      <c r="B299" t="s">
        <v>790</v>
      </c>
      <c r="C299" t="s">
        <v>10</v>
      </c>
      <c r="D299">
        <v>0</v>
      </c>
    </row>
    <row r="300" spans="1:5">
      <c r="A300" t="s">
        <v>32</v>
      </c>
      <c r="B300" t="s">
        <v>8</v>
      </c>
      <c r="C300" t="s">
        <v>790</v>
      </c>
      <c r="D300">
        <v>0</v>
      </c>
    </row>
    <row r="301" spans="1:5">
      <c r="A301" t="s">
        <v>32</v>
      </c>
      <c r="B301" t="s">
        <v>8</v>
      </c>
      <c r="C301" t="s">
        <v>6</v>
      </c>
      <c r="D301">
        <v>-17041.864669999999</v>
      </c>
      <c r="E301" s="1"/>
    </row>
    <row r="302" spans="1:5">
      <c r="A302" t="s">
        <v>32</v>
      </c>
      <c r="B302" t="s">
        <v>15</v>
      </c>
      <c r="C302" t="s">
        <v>6</v>
      </c>
      <c r="D302">
        <v>115043.8</v>
      </c>
    </row>
    <row r="303" spans="1:5">
      <c r="A303" t="s">
        <v>32</v>
      </c>
      <c r="B303" t="s">
        <v>5</v>
      </c>
      <c r="C303" t="s">
        <v>6</v>
      </c>
      <c r="D303">
        <v>52431.69</v>
      </c>
    </row>
    <row r="304" spans="1:5">
      <c r="A304" t="s">
        <v>32</v>
      </c>
      <c r="B304" t="s">
        <v>15</v>
      </c>
      <c r="C304" t="s">
        <v>5</v>
      </c>
      <c r="D304">
        <v>52431.69</v>
      </c>
    </row>
    <row r="305" spans="1:5">
      <c r="A305" t="s">
        <v>32</v>
      </c>
      <c r="B305" t="s">
        <v>6</v>
      </c>
      <c r="C305" t="s">
        <v>8</v>
      </c>
      <c r="D305">
        <v>0</v>
      </c>
    </row>
    <row r="306" spans="1:5">
      <c r="A306" t="s">
        <v>32</v>
      </c>
      <c r="B306" t="s">
        <v>16</v>
      </c>
      <c r="C306" t="s">
        <v>15</v>
      </c>
      <c r="D306">
        <v>12590.756117700999</v>
      </c>
    </row>
    <row r="307" spans="1:5">
      <c r="A307" t="s">
        <v>32</v>
      </c>
      <c r="B307" t="s">
        <v>8</v>
      </c>
      <c r="C307" t="s">
        <v>15</v>
      </c>
      <c r="D307">
        <v>9.9196363999999995E-2</v>
      </c>
      <c r="E307" s="1"/>
    </row>
    <row r="308" spans="1:5">
      <c r="A308" t="s">
        <v>44</v>
      </c>
      <c r="B308" t="s">
        <v>678</v>
      </c>
      <c r="C308" t="s">
        <v>678</v>
      </c>
      <c r="D308">
        <v>3403.8157000000001</v>
      </c>
    </row>
    <row r="309" spans="1:5">
      <c r="A309" t="s">
        <v>44</v>
      </c>
      <c r="B309" t="s">
        <v>10</v>
      </c>
      <c r="C309" t="s">
        <v>678</v>
      </c>
      <c r="D309">
        <v>7150.0826999999999</v>
      </c>
    </row>
    <row r="310" spans="1:5">
      <c r="A310" t="s">
        <v>44</v>
      </c>
      <c r="B310" t="s">
        <v>678</v>
      </c>
      <c r="C310" t="s">
        <v>10</v>
      </c>
      <c r="D310">
        <v>9581.0630000000001</v>
      </c>
    </row>
    <row r="311" spans="1:5">
      <c r="A311" t="s">
        <v>44</v>
      </c>
      <c r="B311" t="s">
        <v>10</v>
      </c>
      <c r="C311" t="s">
        <v>10</v>
      </c>
      <c r="D311">
        <v>388535.33</v>
      </c>
    </row>
    <row r="312" spans="1:5">
      <c r="A312" t="s">
        <v>44</v>
      </c>
      <c r="B312" t="s">
        <v>11</v>
      </c>
      <c r="C312" t="s">
        <v>678</v>
      </c>
      <c r="D312">
        <v>502.28935310999998</v>
      </c>
    </row>
    <row r="313" spans="1:5">
      <c r="A313" t="s">
        <v>44</v>
      </c>
      <c r="B313" t="s">
        <v>11</v>
      </c>
      <c r="C313" t="s">
        <v>10</v>
      </c>
      <c r="D313">
        <v>91039.556916100002</v>
      </c>
    </row>
    <row r="314" spans="1:5">
      <c r="A314" t="s">
        <v>44</v>
      </c>
      <c r="B314" t="s">
        <v>678</v>
      </c>
      <c r="C314" t="s">
        <v>6</v>
      </c>
      <c r="D314">
        <v>7073.8190000000004</v>
      </c>
    </row>
    <row r="315" spans="1:5">
      <c r="A315" t="s">
        <v>44</v>
      </c>
      <c r="B315" t="s">
        <v>10</v>
      </c>
      <c r="C315" t="s">
        <v>6</v>
      </c>
      <c r="D315">
        <v>147148.88</v>
      </c>
    </row>
    <row r="316" spans="1:5">
      <c r="A316" t="s">
        <v>44</v>
      </c>
      <c r="B316" t="s">
        <v>11</v>
      </c>
      <c r="C316" t="s">
        <v>6</v>
      </c>
      <c r="D316">
        <v>17829.040510790001</v>
      </c>
    </row>
    <row r="317" spans="1:5">
      <c r="A317" t="s">
        <v>44</v>
      </c>
      <c r="B317" t="s">
        <v>678</v>
      </c>
      <c r="C317" t="s">
        <v>8</v>
      </c>
      <c r="D317">
        <v>1.8073150999999999E-2</v>
      </c>
    </row>
    <row r="318" spans="1:5">
      <c r="A318" t="s">
        <v>44</v>
      </c>
      <c r="B318" t="s">
        <v>10</v>
      </c>
      <c r="C318" t="s">
        <v>8</v>
      </c>
      <c r="D318">
        <v>41047.423766300002</v>
      </c>
    </row>
    <row r="319" spans="1:5">
      <c r="A319" t="s">
        <v>44</v>
      </c>
      <c r="B319" t="s">
        <v>11</v>
      </c>
      <c r="C319" t="s">
        <v>8</v>
      </c>
      <c r="D319">
        <v>0.53473451999999999</v>
      </c>
    </row>
    <row r="320" spans="1:5">
      <c r="A320" t="s">
        <v>44</v>
      </c>
      <c r="B320" t="s">
        <v>678</v>
      </c>
      <c r="C320" t="s">
        <v>15</v>
      </c>
      <c r="D320">
        <v>279.11273</v>
      </c>
    </row>
    <row r="321" spans="1:4">
      <c r="A321" t="s">
        <v>44</v>
      </c>
      <c r="B321" t="s">
        <v>10</v>
      </c>
      <c r="C321" t="s">
        <v>15</v>
      </c>
      <c r="D321">
        <v>58678.78</v>
      </c>
    </row>
    <row r="322" spans="1:4">
      <c r="A322" t="s">
        <v>44</v>
      </c>
      <c r="B322" t="s">
        <v>11</v>
      </c>
      <c r="C322" t="s">
        <v>15</v>
      </c>
      <c r="D322">
        <v>457.55783169</v>
      </c>
    </row>
    <row r="323" spans="1:4">
      <c r="A323" t="s">
        <v>44</v>
      </c>
      <c r="B323" t="s">
        <v>8</v>
      </c>
      <c r="C323" t="s">
        <v>11</v>
      </c>
      <c r="D323">
        <v>109828.97934999999</v>
      </c>
    </row>
    <row r="324" spans="1:4">
      <c r="A324" t="s">
        <v>44</v>
      </c>
      <c r="B324" t="s">
        <v>678</v>
      </c>
      <c r="C324" t="s">
        <v>7</v>
      </c>
      <c r="D324">
        <v>0</v>
      </c>
    </row>
    <row r="325" spans="1:4">
      <c r="A325" t="s">
        <v>44</v>
      </c>
      <c r="B325" t="s">
        <v>10</v>
      </c>
      <c r="C325" t="s">
        <v>7</v>
      </c>
      <c r="D325">
        <v>-91.68880643</v>
      </c>
    </row>
    <row r="326" spans="1:4">
      <c r="A326" t="s">
        <v>44</v>
      </c>
      <c r="B326" t="s">
        <v>7</v>
      </c>
      <c r="C326" t="s">
        <v>8</v>
      </c>
      <c r="D326">
        <v>-91.68880643</v>
      </c>
    </row>
    <row r="327" spans="1:4">
      <c r="A327" t="s">
        <v>44</v>
      </c>
      <c r="B327" t="s">
        <v>678</v>
      </c>
      <c r="C327" t="s">
        <v>16</v>
      </c>
      <c r="D327">
        <v>911.37671704000002</v>
      </c>
    </row>
    <row r="328" spans="1:4">
      <c r="A328" t="s">
        <v>44</v>
      </c>
      <c r="B328" t="s">
        <v>10</v>
      </c>
      <c r="C328" t="s">
        <v>16</v>
      </c>
      <c r="D328">
        <v>136898.84766</v>
      </c>
    </row>
    <row r="329" spans="1:4">
      <c r="A329" t="s">
        <v>44</v>
      </c>
      <c r="B329" t="s">
        <v>678</v>
      </c>
      <c r="C329" t="s">
        <v>17</v>
      </c>
      <c r="D329">
        <v>0</v>
      </c>
    </row>
    <row r="330" spans="1:4">
      <c r="A330" t="s">
        <v>44</v>
      </c>
      <c r="B330" t="s">
        <v>10</v>
      </c>
      <c r="C330" t="s">
        <v>17</v>
      </c>
      <c r="D330">
        <v>1673.797</v>
      </c>
    </row>
    <row r="331" spans="1:4">
      <c r="A331" t="s">
        <v>44</v>
      </c>
      <c r="B331" t="s">
        <v>17</v>
      </c>
      <c r="C331" t="s">
        <v>16</v>
      </c>
      <c r="D331">
        <v>1673.797</v>
      </c>
    </row>
    <row r="332" spans="1:4">
      <c r="A332" t="s">
        <v>44</v>
      </c>
      <c r="B332" t="s">
        <v>14</v>
      </c>
      <c r="C332" t="s">
        <v>678</v>
      </c>
      <c r="D332">
        <v>3148.67</v>
      </c>
    </row>
    <row r="333" spans="1:4">
      <c r="A333" t="s">
        <v>44</v>
      </c>
      <c r="B333" t="s">
        <v>14</v>
      </c>
      <c r="C333" t="s">
        <v>10</v>
      </c>
      <c r="D333">
        <v>105735.5</v>
      </c>
    </row>
    <row r="334" spans="1:4">
      <c r="A334" t="s">
        <v>44</v>
      </c>
      <c r="B334" t="s">
        <v>6</v>
      </c>
      <c r="C334" t="s">
        <v>14</v>
      </c>
      <c r="D334">
        <v>108884.17</v>
      </c>
    </row>
    <row r="335" spans="1:4">
      <c r="A335" t="s">
        <v>44</v>
      </c>
      <c r="B335" t="s">
        <v>8</v>
      </c>
      <c r="C335" t="s">
        <v>14</v>
      </c>
      <c r="D335">
        <v>0</v>
      </c>
    </row>
    <row r="336" spans="1:4">
      <c r="A336" t="s">
        <v>44</v>
      </c>
      <c r="B336" t="s">
        <v>9</v>
      </c>
      <c r="C336" t="s">
        <v>678</v>
      </c>
      <c r="D336">
        <v>1939.1338000000001</v>
      </c>
    </row>
    <row r="337" spans="1:4">
      <c r="A337" t="s">
        <v>44</v>
      </c>
      <c r="B337" t="s">
        <v>9</v>
      </c>
      <c r="C337" t="s">
        <v>10</v>
      </c>
      <c r="D337">
        <v>355.66520000000003</v>
      </c>
    </row>
    <row r="338" spans="1:4">
      <c r="A338" t="s">
        <v>44</v>
      </c>
      <c r="B338" t="s">
        <v>6</v>
      </c>
      <c r="C338" t="s">
        <v>9</v>
      </c>
      <c r="D338">
        <v>2294.799</v>
      </c>
    </row>
    <row r="339" spans="1:4">
      <c r="A339" t="s">
        <v>44</v>
      </c>
      <c r="B339" t="s">
        <v>13</v>
      </c>
      <c r="C339" t="s">
        <v>678</v>
      </c>
      <c r="D339">
        <v>862.88660000000004</v>
      </c>
    </row>
    <row r="340" spans="1:4">
      <c r="A340" t="s">
        <v>44</v>
      </c>
      <c r="B340" t="s">
        <v>13</v>
      </c>
      <c r="C340" t="s">
        <v>10</v>
      </c>
      <c r="D340">
        <v>61244.75</v>
      </c>
    </row>
    <row r="341" spans="1:4">
      <c r="A341" t="s">
        <v>44</v>
      </c>
      <c r="B341" t="s">
        <v>6</v>
      </c>
      <c r="C341" t="s">
        <v>13</v>
      </c>
      <c r="D341">
        <v>62107.636599999998</v>
      </c>
    </row>
    <row r="342" spans="1:4">
      <c r="A342" t="s">
        <v>44</v>
      </c>
      <c r="B342" t="s">
        <v>8</v>
      </c>
      <c r="C342" t="s">
        <v>678</v>
      </c>
      <c r="D342">
        <v>245.04108308100001</v>
      </c>
    </row>
    <row r="343" spans="1:4">
      <c r="A343" t="s">
        <v>44</v>
      </c>
      <c r="B343" t="s">
        <v>8</v>
      </c>
      <c r="C343" t="s">
        <v>10</v>
      </c>
      <c r="D343">
        <v>12509.370738019999</v>
      </c>
    </row>
    <row r="344" spans="1:4">
      <c r="A344" t="s">
        <v>44</v>
      </c>
      <c r="B344" t="s">
        <v>12</v>
      </c>
      <c r="C344" t="s">
        <v>678</v>
      </c>
      <c r="D344">
        <v>317.29217709800002</v>
      </c>
    </row>
    <row r="345" spans="1:4">
      <c r="A345" t="s">
        <v>44</v>
      </c>
      <c r="B345" t="s">
        <v>12</v>
      </c>
      <c r="C345" t="s">
        <v>10</v>
      </c>
      <c r="D345">
        <v>6701.8499869389998</v>
      </c>
    </row>
    <row r="346" spans="1:4">
      <c r="A346" t="s">
        <v>44</v>
      </c>
      <c r="B346" t="s">
        <v>8</v>
      </c>
      <c r="C346" t="s">
        <v>12</v>
      </c>
      <c r="D346">
        <v>7019.1421640369999</v>
      </c>
    </row>
    <row r="347" spans="1:4">
      <c r="A347" t="s">
        <v>44</v>
      </c>
      <c r="B347" t="s">
        <v>16</v>
      </c>
      <c r="C347" t="s">
        <v>678</v>
      </c>
      <c r="D347">
        <v>3679.9938291630001</v>
      </c>
    </row>
    <row r="348" spans="1:4">
      <c r="A348" t="s">
        <v>44</v>
      </c>
      <c r="B348" t="s">
        <v>16</v>
      </c>
      <c r="C348" t="s">
        <v>10</v>
      </c>
      <c r="D348">
        <v>105338.37362</v>
      </c>
    </row>
    <row r="349" spans="1:4">
      <c r="A349" t="s">
        <v>44</v>
      </c>
      <c r="B349" t="s">
        <v>790</v>
      </c>
      <c r="C349" t="s">
        <v>678</v>
      </c>
      <c r="D349">
        <v>0</v>
      </c>
    </row>
    <row r="350" spans="1:4">
      <c r="A350" t="s">
        <v>44</v>
      </c>
      <c r="B350" t="s">
        <v>790</v>
      </c>
      <c r="C350" t="s">
        <v>10</v>
      </c>
      <c r="D350">
        <v>0</v>
      </c>
    </row>
    <row r="351" spans="1:4">
      <c r="A351" t="s">
        <v>44</v>
      </c>
      <c r="B351" t="s">
        <v>8</v>
      </c>
      <c r="C351" t="s">
        <v>790</v>
      </c>
      <c r="D351">
        <v>0</v>
      </c>
    </row>
    <row r="352" spans="1:4">
      <c r="A352" t="s">
        <v>44</v>
      </c>
      <c r="B352" t="s">
        <v>8</v>
      </c>
      <c r="C352" t="s">
        <v>6</v>
      </c>
      <c r="D352">
        <v>-88646.263909999994</v>
      </c>
    </row>
    <row r="353" spans="1:5">
      <c r="A353" t="s">
        <v>44</v>
      </c>
      <c r="B353" t="s">
        <v>15</v>
      </c>
      <c r="C353" t="s">
        <v>6</v>
      </c>
      <c r="D353">
        <v>68503.3</v>
      </c>
    </row>
    <row r="354" spans="1:5">
      <c r="A354" t="s">
        <v>44</v>
      </c>
      <c r="B354" t="s">
        <v>5</v>
      </c>
      <c r="C354" t="s">
        <v>6</v>
      </c>
      <c r="D354">
        <v>21377.83</v>
      </c>
    </row>
    <row r="355" spans="1:5">
      <c r="A355" t="s">
        <v>44</v>
      </c>
      <c r="B355" t="s">
        <v>15</v>
      </c>
      <c r="C355" t="s">
        <v>5</v>
      </c>
      <c r="D355">
        <v>21377.83</v>
      </c>
    </row>
    <row r="356" spans="1:5">
      <c r="A356" t="s">
        <v>44</v>
      </c>
      <c r="B356" t="s">
        <v>6</v>
      </c>
      <c r="C356" t="s">
        <v>8</v>
      </c>
      <c r="D356">
        <v>0</v>
      </c>
    </row>
    <row r="357" spans="1:5">
      <c r="A357" t="s">
        <v>44</v>
      </c>
      <c r="B357" t="s">
        <v>16</v>
      </c>
      <c r="C357" t="s">
        <v>15</v>
      </c>
      <c r="D357">
        <v>30465.653928881002</v>
      </c>
    </row>
    <row r="358" spans="1:5">
      <c r="A358" t="s">
        <v>44</v>
      </c>
      <c r="B358" t="s">
        <v>8</v>
      </c>
      <c r="C358" t="s">
        <v>15</v>
      </c>
      <c r="D358">
        <v>1.8346982000000001E-2</v>
      </c>
    </row>
    <row r="359" spans="1:5">
      <c r="A359" t="s">
        <v>29</v>
      </c>
      <c r="B359" t="s">
        <v>678</v>
      </c>
      <c r="C359" t="s">
        <v>678</v>
      </c>
      <c r="D359">
        <v>4730.0932000000003</v>
      </c>
    </row>
    <row r="360" spans="1:5">
      <c r="A360" t="s">
        <v>29</v>
      </c>
      <c r="B360" t="s">
        <v>10</v>
      </c>
      <c r="C360" t="s">
        <v>678</v>
      </c>
      <c r="D360">
        <v>7848.9771000000001</v>
      </c>
    </row>
    <row r="361" spans="1:5">
      <c r="A361" t="s">
        <v>29</v>
      </c>
      <c r="B361" t="s">
        <v>678</v>
      </c>
      <c r="C361" t="s">
        <v>10</v>
      </c>
      <c r="D361">
        <v>27269.476999999999</v>
      </c>
    </row>
    <row r="362" spans="1:5">
      <c r="A362" t="s">
        <v>29</v>
      </c>
      <c r="B362" t="s">
        <v>10</v>
      </c>
      <c r="C362" t="s">
        <v>10</v>
      </c>
      <c r="D362">
        <v>136159.62</v>
      </c>
      <c r="E362" s="1"/>
    </row>
    <row r="363" spans="1:5">
      <c r="A363" t="s">
        <v>29</v>
      </c>
      <c r="B363" t="s">
        <v>11</v>
      </c>
      <c r="C363" t="s">
        <v>678</v>
      </c>
      <c r="D363">
        <v>-0.540532173</v>
      </c>
    </row>
    <row r="364" spans="1:5">
      <c r="A364" t="s">
        <v>29</v>
      </c>
      <c r="B364" t="s">
        <v>11</v>
      </c>
      <c r="C364" t="s">
        <v>10</v>
      </c>
      <c r="D364">
        <v>2.4771308799999998</v>
      </c>
    </row>
    <row r="365" spans="1:5">
      <c r="A365" t="s">
        <v>29</v>
      </c>
      <c r="B365" t="s">
        <v>678</v>
      </c>
      <c r="C365" t="s">
        <v>6</v>
      </c>
      <c r="D365">
        <v>22598.437999999998</v>
      </c>
    </row>
    <row r="366" spans="1:5">
      <c r="A366" t="s">
        <v>29</v>
      </c>
      <c r="B366" t="s">
        <v>10</v>
      </c>
      <c r="C366" t="s">
        <v>6</v>
      </c>
      <c r="D366">
        <v>110455.06600000001</v>
      </c>
    </row>
    <row r="367" spans="1:5">
      <c r="A367" t="s">
        <v>29</v>
      </c>
      <c r="B367" t="s">
        <v>11</v>
      </c>
      <c r="C367" t="s">
        <v>6</v>
      </c>
      <c r="D367">
        <v>-7.1961147000000003E-2</v>
      </c>
    </row>
    <row r="368" spans="1:5">
      <c r="A368" t="s">
        <v>29</v>
      </c>
      <c r="B368" t="s">
        <v>678</v>
      </c>
      <c r="C368" t="s">
        <v>8</v>
      </c>
      <c r="D368">
        <v>13.732853</v>
      </c>
    </row>
    <row r="369" spans="1:5">
      <c r="A369" t="s">
        <v>29</v>
      </c>
      <c r="B369" t="s">
        <v>10</v>
      </c>
      <c r="C369" t="s">
        <v>8</v>
      </c>
      <c r="D369">
        <v>14749.1353</v>
      </c>
    </row>
    <row r="370" spans="1:5">
      <c r="A370" t="s">
        <v>29</v>
      </c>
      <c r="B370" t="s">
        <v>11</v>
      </c>
      <c r="C370" t="s">
        <v>8</v>
      </c>
      <c r="D370">
        <v>0.28288075499999998</v>
      </c>
    </row>
    <row r="371" spans="1:5">
      <c r="A371" t="s">
        <v>29</v>
      </c>
      <c r="B371" t="s">
        <v>678</v>
      </c>
      <c r="C371" t="s">
        <v>15</v>
      </c>
      <c r="D371">
        <v>19.643797299999999</v>
      </c>
    </row>
    <row r="372" spans="1:5">
      <c r="A372" t="s">
        <v>29</v>
      </c>
      <c r="B372" t="s">
        <v>10</v>
      </c>
      <c r="C372" t="s">
        <v>15</v>
      </c>
      <c r="D372">
        <v>61058.43</v>
      </c>
    </row>
    <row r="373" spans="1:5">
      <c r="A373" t="s">
        <v>29</v>
      </c>
      <c r="B373" t="s">
        <v>11</v>
      </c>
      <c r="C373" t="s">
        <v>15</v>
      </c>
      <c r="D373">
        <v>-0.14838709999999999</v>
      </c>
    </row>
    <row r="374" spans="1:5">
      <c r="A374" t="s">
        <v>29</v>
      </c>
      <c r="B374" t="s">
        <v>8</v>
      </c>
      <c r="C374" t="s">
        <v>11</v>
      </c>
      <c r="D374">
        <v>1.9991312160000001</v>
      </c>
    </row>
    <row r="375" spans="1:5">
      <c r="A375" t="s">
        <v>29</v>
      </c>
      <c r="B375" t="s">
        <v>678</v>
      </c>
      <c r="C375" t="s">
        <v>7</v>
      </c>
      <c r="D375">
        <v>0</v>
      </c>
    </row>
    <row r="376" spans="1:5">
      <c r="A376" t="s">
        <v>29</v>
      </c>
      <c r="B376" t="s">
        <v>10</v>
      </c>
      <c r="C376" t="s">
        <v>7</v>
      </c>
      <c r="D376">
        <v>-70.822711589999997</v>
      </c>
    </row>
    <row r="377" spans="1:5">
      <c r="A377" t="s">
        <v>29</v>
      </c>
      <c r="B377" t="s">
        <v>7</v>
      </c>
      <c r="C377" t="s">
        <v>8</v>
      </c>
      <c r="D377">
        <v>-70.822711589999997</v>
      </c>
    </row>
    <row r="378" spans="1:5">
      <c r="A378" t="s">
        <v>29</v>
      </c>
      <c r="B378" t="s">
        <v>678</v>
      </c>
      <c r="C378" t="s">
        <v>16</v>
      </c>
      <c r="D378">
        <v>2221.9934532699999</v>
      </c>
    </row>
    <row r="379" spans="1:5">
      <c r="A379" t="s">
        <v>29</v>
      </c>
      <c r="B379" t="s">
        <v>10</v>
      </c>
      <c r="C379" t="s">
        <v>16</v>
      </c>
      <c r="D379">
        <v>59775.851165474996</v>
      </c>
      <c r="E379" s="1"/>
    </row>
    <row r="380" spans="1:5">
      <c r="A380" t="s">
        <v>29</v>
      </c>
      <c r="B380" t="s">
        <v>678</v>
      </c>
      <c r="C380" t="s">
        <v>17</v>
      </c>
      <c r="D380">
        <v>0</v>
      </c>
    </row>
    <row r="381" spans="1:5">
      <c r="A381" t="s">
        <v>29</v>
      </c>
      <c r="B381" t="s">
        <v>10</v>
      </c>
      <c r="C381" t="s">
        <v>17</v>
      </c>
      <c r="D381">
        <v>28.212789999999998</v>
      </c>
    </row>
    <row r="382" spans="1:5">
      <c r="A382" t="s">
        <v>29</v>
      </c>
      <c r="B382" t="s">
        <v>17</v>
      </c>
      <c r="C382" t="s">
        <v>16</v>
      </c>
      <c r="D382">
        <v>28.212789999999998</v>
      </c>
    </row>
    <row r="383" spans="1:5">
      <c r="A383" t="s">
        <v>29</v>
      </c>
      <c r="B383" t="s">
        <v>14</v>
      </c>
      <c r="C383" t="s">
        <v>678</v>
      </c>
      <c r="D383">
        <v>18923.98</v>
      </c>
    </row>
    <row r="384" spans="1:5">
      <c r="A384" t="s">
        <v>29</v>
      </c>
      <c r="B384" t="s">
        <v>14</v>
      </c>
      <c r="C384" t="s">
        <v>10</v>
      </c>
      <c r="D384">
        <v>74452.02</v>
      </c>
    </row>
    <row r="385" spans="1:5">
      <c r="A385" t="s">
        <v>29</v>
      </c>
      <c r="B385" t="s">
        <v>6</v>
      </c>
      <c r="C385" t="s">
        <v>14</v>
      </c>
      <c r="D385">
        <v>93376</v>
      </c>
    </row>
    <row r="386" spans="1:5">
      <c r="A386" t="s">
        <v>29</v>
      </c>
      <c r="B386" t="s">
        <v>8</v>
      </c>
      <c r="C386" t="s">
        <v>14</v>
      </c>
      <c r="D386">
        <v>0</v>
      </c>
    </row>
    <row r="387" spans="1:5">
      <c r="A387" t="s">
        <v>29</v>
      </c>
      <c r="B387" t="s">
        <v>9</v>
      </c>
      <c r="C387" t="s">
        <v>678</v>
      </c>
      <c r="D387">
        <v>14157.684999999999</v>
      </c>
    </row>
    <row r="388" spans="1:5">
      <c r="A388" t="s">
        <v>29</v>
      </c>
      <c r="B388" t="s">
        <v>9</v>
      </c>
      <c r="C388" t="s">
        <v>10</v>
      </c>
      <c r="D388">
        <v>4310.5420000000004</v>
      </c>
    </row>
    <row r="389" spans="1:5">
      <c r="A389" t="s">
        <v>29</v>
      </c>
      <c r="B389" t="s">
        <v>6</v>
      </c>
      <c r="C389" t="s">
        <v>9</v>
      </c>
      <c r="D389">
        <v>18468.226999999999</v>
      </c>
    </row>
    <row r="390" spans="1:5">
      <c r="A390" t="s">
        <v>29</v>
      </c>
      <c r="B390" t="s">
        <v>13</v>
      </c>
      <c r="C390" t="s">
        <v>678</v>
      </c>
      <c r="D390">
        <v>7723.4849999999997</v>
      </c>
    </row>
    <row r="391" spans="1:5">
      <c r="A391" t="s">
        <v>29</v>
      </c>
      <c r="B391" t="s">
        <v>13</v>
      </c>
      <c r="C391" t="s">
        <v>10</v>
      </c>
      <c r="D391">
        <v>97012.9</v>
      </c>
    </row>
    <row r="392" spans="1:5">
      <c r="A392" t="s">
        <v>29</v>
      </c>
      <c r="B392" t="s">
        <v>6</v>
      </c>
      <c r="C392" t="s">
        <v>13</v>
      </c>
      <c r="D392">
        <v>104736.38499999999</v>
      </c>
    </row>
    <row r="393" spans="1:5">
      <c r="A393" t="s">
        <v>29</v>
      </c>
      <c r="B393" t="s">
        <v>8</v>
      </c>
      <c r="C393" t="s">
        <v>678</v>
      </c>
      <c r="D393">
        <v>1.2991743E-2</v>
      </c>
    </row>
    <row r="394" spans="1:5">
      <c r="A394" t="s">
        <v>29</v>
      </c>
      <c r="B394" t="s">
        <v>8</v>
      </c>
      <c r="C394" t="s">
        <v>10</v>
      </c>
      <c r="D394">
        <v>-1720.5838869950001</v>
      </c>
      <c r="E394" s="1"/>
    </row>
    <row r="395" spans="1:5">
      <c r="A395" t="s">
        <v>29</v>
      </c>
      <c r="B395" t="s">
        <v>12</v>
      </c>
      <c r="C395" t="s">
        <v>678</v>
      </c>
      <c r="D395">
        <v>172.30247517999999</v>
      </c>
    </row>
    <row r="396" spans="1:5">
      <c r="A396" t="s">
        <v>29</v>
      </c>
      <c r="B396" t="s">
        <v>12</v>
      </c>
      <c r="C396" t="s">
        <v>10</v>
      </c>
      <c r="D396">
        <v>4000.0290268479998</v>
      </c>
    </row>
    <row r="397" spans="1:5">
      <c r="A397" t="s">
        <v>29</v>
      </c>
      <c r="B397" t="s">
        <v>8</v>
      </c>
      <c r="C397" t="s">
        <v>12</v>
      </c>
      <c r="D397">
        <v>4172.3315020279997</v>
      </c>
    </row>
    <row r="398" spans="1:5">
      <c r="A398" t="s">
        <v>29</v>
      </c>
      <c r="B398" t="s">
        <v>16</v>
      </c>
      <c r="C398" t="s">
        <v>678</v>
      </c>
      <c r="D398">
        <v>3297.3825257379999</v>
      </c>
    </row>
    <row r="399" spans="1:5">
      <c r="A399" t="s">
        <v>29</v>
      </c>
      <c r="B399" t="s">
        <v>16</v>
      </c>
      <c r="C399" t="s">
        <v>10</v>
      </c>
      <c r="D399">
        <v>48517.993069368</v>
      </c>
      <c r="E399" s="1"/>
    </row>
    <row r="400" spans="1:5">
      <c r="A400" t="s">
        <v>29</v>
      </c>
      <c r="B400" t="s">
        <v>790</v>
      </c>
      <c r="C400" t="s">
        <v>678</v>
      </c>
      <c r="D400">
        <v>0</v>
      </c>
    </row>
    <row r="401" spans="1:5">
      <c r="A401" t="s">
        <v>29</v>
      </c>
      <c r="B401" t="s">
        <v>790</v>
      </c>
      <c r="C401" t="s">
        <v>10</v>
      </c>
      <c r="D401">
        <v>0</v>
      </c>
    </row>
    <row r="402" spans="1:5">
      <c r="A402" t="s">
        <v>29</v>
      </c>
      <c r="B402" t="s">
        <v>8</v>
      </c>
      <c r="C402" t="s">
        <v>790</v>
      </c>
      <c r="D402">
        <v>0</v>
      </c>
    </row>
    <row r="403" spans="1:5">
      <c r="A403" t="s">
        <v>29</v>
      </c>
      <c r="B403" t="s">
        <v>8</v>
      </c>
      <c r="C403" t="s">
        <v>6</v>
      </c>
      <c r="D403">
        <v>12238.529961147</v>
      </c>
    </row>
    <row r="404" spans="1:5">
      <c r="A404" t="s">
        <v>29</v>
      </c>
      <c r="B404" t="s">
        <v>15</v>
      </c>
      <c r="C404" t="s">
        <v>6</v>
      </c>
      <c r="D404">
        <v>52909.35</v>
      </c>
    </row>
    <row r="405" spans="1:5">
      <c r="A405" t="s">
        <v>29</v>
      </c>
      <c r="B405" t="s">
        <v>5</v>
      </c>
      <c r="C405" t="s">
        <v>6</v>
      </c>
      <c r="D405">
        <v>18379.3</v>
      </c>
    </row>
    <row r="406" spans="1:5">
      <c r="A406" t="s">
        <v>29</v>
      </c>
      <c r="B406" t="s">
        <v>15</v>
      </c>
      <c r="C406" t="s">
        <v>5</v>
      </c>
      <c r="D406">
        <v>18379.3</v>
      </c>
    </row>
    <row r="407" spans="1:5">
      <c r="A407" t="s">
        <v>29</v>
      </c>
      <c r="B407" t="s">
        <v>6</v>
      </c>
      <c r="C407" t="s">
        <v>8</v>
      </c>
      <c r="D407">
        <v>0</v>
      </c>
    </row>
    <row r="408" spans="1:5">
      <c r="A408" t="s">
        <v>29</v>
      </c>
      <c r="B408" t="s">
        <v>16</v>
      </c>
      <c r="C408" t="s">
        <v>15</v>
      </c>
      <c r="D408">
        <v>10210.68181364</v>
      </c>
    </row>
    <row r="409" spans="1:5">
      <c r="A409" t="s">
        <v>29</v>
      </c>
      <c r="B409" t="s">
        <v>8</v>
      </c>
      <c r="C409" t="s">
        <v>15</v>
      </c>
      <c r="D409">
        <v>3.8623026999999997E-2</v>
      </c>
      <c r="E409" s="1"/>
    </row>
    <row r="410" spans="1:5">
      <c r="A410" t="s">
        <v>36</v>
      </c>
      <c r="B410" t="s">
        <v>678</v>
      </c>
      <c r="C410" t="s">
        <v>678</v>
      </c>
      <c r="D410">
        <v>693.33095000000003</v>
      </c>
    </row>
    <row r="411" spans="1:5">
      <c r="A411" t="s">
        <v>36</v>
      </c>
      <c r="B411" t="s">
        <v>10</v>
      </c>
      <c r="C411" t="s">
        <v>678</v>
      </c>
      <c r="D411">
        <v>4300.692</v>
      </c>
    </row>
    <row r="412" spans="1:5">
      <c r="A412" t="s">
        <v>36</v>
      </c>
      <c r="B412" t="s">
        <v>678</v>
      </c>
      <c r="C412" t="s">
        <v>10</v>
      </c>
      <c r="D412">
        <v>12375.101000000001</v>
      </c>
    </row>
    <row r="413" spans="1:5">
      <c r="A413" t="s">
        <v>36</v>
      </c>
      <c r="B413" t="s">
        <v>10</v>
      </c>
      <c r="C413" t="s">
        <v>10</v>
      </c>
      <c r="D413">
        <v>131343.6</v>
      </c>
    </row>
    <row r="414" spans="1:5">
      <c r="A414" t="s">
        <v>36</v>
      </c>
      <c r="B414" t="s">
        <v>11</v>
      </c>
      <c r="C414" t="s">
        <v>678</v>
      </c>
      <c r="D414">
        <v>81.833997999999994</v>
      </c>
    </row>
    <row r="415" spans="1:5">
      <c r="A415" t="s">
        <v>36</v>
      </c>
      <c r="B415" t="s">
        <v>11</v>
      </c>
      <c r="C415" t="s">
        <v>10</v>
      </c>
      <c r="D415">
        <v>3574.233952</v>
      </c>
    </row>
    <row r="416" spans="1:5">
      <c r="A416" t="s">
        <v>36</v>
      </c>
      <c r="B416" t="s">
        <v>678</v>
      </c>
      <c r="C416" t="s">
        <v>6</v>
      </c>
      <c r="D416">
        <v>3079.4551999999999</v>
      </c>
    </row>
    <row r="417" spans="1:4">
      <c r="A417" t="s">
        <v>36</v>
      </c>
      <c r="B417" t="s">
        <v>10</v>
      </c>
      <c r="C417" t="s">
        <v>6</v>
      </c>
      <c r="D417">
        <v>36358.160000000003</v>
      </c>
    </row>
    <row r="418" spans="1:4">
      <c r="A418" t="s">
        <v>36</v>
      </c>
      <c r="B418" t="s">
        <v>11</v>
      </c>
      <c r="C418" t="s">
        <v>6</v>
      </c>
      <c r="D418">
        <v>4606.7610100000002</v>
      </c>
    </row>
    <row r="419" spans="1:4">
      <c r="A419" t="s">
        <v>36</v>
      </c>
      <c r="B419" t="s">
        <v>678</v>
      </c>
      <c r="C419" t="s">
        <v>8</v>
      </c>
      <c r="D419">
        <v>0.36213761</v>
      </c>
    </row>
    <row r="420" spans="1:4">
      <c r="A420" t="s">
        <v>36</v>
      </c>
      <c r="B420" t="s">
        <v>10</v>
      </c>
      <c r="C420" t="s">
        <v>8</v>
      </c>
      <c r="D420">
        <v>10900.9537</v>
      </c>
    </row>
    <row r="421" spans="1:4">
      <c r="A421" t="s">
        <v>36</v>
      </c>
      <c r="B421" t="s">
        <v>11</v>
      </c>
      <c r="C421" t="s">
        <v>8</v>
      </c>
      <c r="D421">
        <v>3.6813551690000001</v>
      </c>
    </row>
    <row r="422" spans="1:4">
      <c r="A422" t="s">
        <v>36</v>
      </c>
      <c r="B422" t="s">
        <v>678</v>
      </c>
      <c r="C422" t="s">
        <v>15</v>
      </c>
      <c r="D422">
        <v>2062.0756999999999</v>
      </c>
    </row>
    <row r="423" spans="1:4">
      <c r="A423" t="s">
        <v>36</v>
      </c>
      <c r="B423" t="s">
        <v>10</v>
      </c>
      <c r="C423" t="s">
        <v>15</v>
      </c>
      <c r="D423">
        <v>38832.339999999997</v>
      </c>
    </row>
    <row r="424" spans="1:4">
      <c r="A424" t="s">
        <v>36</v>
      </c>
      <c r="B424" t="s">
        <v>11</v>
      </c>
      <c r="C424" t="s">
        <v>15</v>
      </c>
      <c r="D424">
        <v>1019.386599</v>
      </c>
    </row>
    <row r="425" spans="1:4">
      <c r="A425" t="s">
        <v>36</v>
      </c>
      <c r="B425" t="s">
        <v>8</v>
      </c>
      <c r="C425" t="s">
        <v>11</v>
      </c>
      <c r="D425">
        <v>9285.8969141689995</v>
      </c>
    </row>
    <row r="426" spans="1:4">
      <c r="A426" t="s">
        <v>36</v>
      </c>
      <c r="B426" t="s">
        <v>678</v>
      </c>
      <c r="C426" t="s">
        <v>7</v>
      </c>
      <c r="D426">
        <v>0</v>
      </c>
    </row>
    <row r="427" spans="1:4">
      <c r="A427" t="s">
        <v>36</v>
      </c>
      <c r="B427" t="s">
        <v>10</v>
      </c>
      <c r="C427" t="s">
        <v>7</v>
      </c>
      <c r="D427">
        <v>-35.138622460000001</v>
      </c>
    </row>
    <row r="428" spans="1:4">
      <c r="A428" t="s">
        <v>36</v>
      </c>
      <c r="B428" t="s">
        <v>7</v>
      </c>
      <c r="C428" t="s">
        <v>8</v>
      </c>
      <c r="D428">
        <v>-35.138622460000001</v>
      </c>
    </row>
    <row r="429" spans="1:4">
      <c r="A429" t="s">
        <v>36</v>
      </c>
      <c r="B429" t="s">
        <v>678</v>
      </c>
      <c r="C429" t="s">
        <v>16</v>
      </c>
      <c r="D429">
        <v>1794.1529920580001</v>
      </c>
    </row>
    <row r="430" spans="1:4">
      <c r="A430" t="s">
        <v>36</v>
      </c>
      <c r="B430" t="s">
        <v>10</v>
      </c>
      <c r="C430" t="s">
        <v>16</v>
      </c>
      <c r="D430">
        <v>93472.177315554</v>
      </c>
    </row>
    <row r="431" spans="1:4">
      <c r="A431" t="s">
        <v>36</v>
      </c>
      <c r="B431" t="s">
        <v>678</v>
      </c>
      <c r="C431" t="s">
        <v>17</v>
      </c>
      <c r="D431">
        <v>0</v>
      </c>
    </row>
    <row r="432" spans="1:4">
      <c r="A432" t="s">
        <v>36</v>
      </c>
      <c r="B432" t="s">
        <v>10</v>
      </c>
      <c r="C432" t="s">
        <v>17</v>
      </c>
      <c r="D432">
        <v>1469.431</v>
      </c>
    </row>
    <row r="433" spans="1:5">
      <c r="A433" t="s">
        <v>36</v>
      </c>
      <c r="B433" t="s">
        <v>17</v>
      </c>
      <c r="C433" t="s">
        <v>16</v>
      </c>
      <c r="D433">
        <v>1469.431</v>
      </c>
    </row>
    <row r="434" spans="1:5">
      <c r="A434" t="s">
        <v>36</v>
      </c>
      <c r="B434" t="s">
        <v>14</v>
      </c>
      <c r="C434" t="s">
        <v>678</v>
      </c>
      <c r="D434">
        <v>4999.933</v>
      </c>
    </row>
    <row r="435" spans="1:5">
      <c r="A435" t="s">
        <v>36</v>
      </c>
      <c r="B435" t="s">
        <v>14</v>
      </c>
      <c r="C435" t="s">
        <v>10</v>
      </c>
      <c r="D435">
        <v>29026.35</v>
      </c>
    </row>
    <row r="436" spans="1:5">
      <c r="A436" t="s">
        <v>36</v>
      </c>
      <c r="B436" t="s">
        <v>6</v>
      </c>
      <c r="C436" t="s">
        <v>14</v>
      </c>
      <c r="D436">
        <v>34026.283000000003</v>
      </c>
    </row>
    <row r="437" spans="1:5">
      <c r="A437" t="s">
        <v>36</v>
      </c>
      <c r="B437" t="s">
        <v>8</v>
      </c>
      <c r="C437" t="s">
        <v>14</v>
      </c>
      <c r="D437">
        <v>0</v>
      </c>
    </row>
    <row r="438" spans="1:5">
      <c r="A438" t="s">
        <v>36</v>
      </c>
      <c r="B438" t="s">
        <v>9</v>
      </c>
      <c r="C438" t="s">
        <v>678</v>
      </c>
      <c r="D438">
        <v>3932.8004999999998</v>
      </c>
    </row>
    <row r="439" spans="1:5">
      <c r="A439" t="s">
        <v>36</v>
      </c>
      <c r="B439" t="s">
        <v>9</v>
      </c>
      <c r="C439" t="s">
        <v>10</v>
      </c>
      <c r="D439">
        <v>1227.97</v>
      </c>
    </row>
    <row r="440" spans="1:5">
      <c r="A440" t="s">
        <v>36</v>
      </c>
      <c r="B440" t="s">
        <v>6</v>
      </c>
      <c r="C440" t="s">
        <v>9</v>
      </c>
      <c r="D440">
        <v>5160.7704999999996</v>
      </c>
    </row>
    <row r="441" spans="1:5">
      <c r="A441" t="s">
        <v>36</v>
      </c>
      <c r="B441" t="s">
        <v>13</v>
      </c>
      <c r="C441" t="s">
        <v>678</v>
      </c>
      <c r="D441">
        <v>3787.223</v>
      </c>
    </row>
    <row r="442" spans="1:5">
      <c r="A442" t="s">
        <v>36</v>
      </c>
      <c r="B442" t="s">
        <v>13</v>
      </c>
      <c r="C442" t="s">
        <v>10</v>
      </c>
      <c r="D442">
        <v>46709.18</v>
      </c>
    </row>
    <row r="443" spans="1:5">
      <c r="A443" t="s">
        <v>36</v>
      </c>
      <c r="B443" t="s">
        <v>6</v>
      </c>
      <c r="C443" t="s">
        <v>13</v>
      </c>
      <c r="D443">
        <v>50496.402999999998</v>
      </c>
      <c r="E443" s="1"/>
    </row>
    <row r="444" spans="1:5">
      <c r="A444" t="s">
        <v>36</v>
      </c>
      <c r="B444" t="s">
        <v>8</v>
      </c>
      <c r="C444" t="s">
        <v>678</v>
      </c>
      <c r="D444">
        <v>-2.3598320000000001E-3</v>
      </c>
    </row>
    <row r="445" spans="1:5">
      <c r="A445" t="s">
        <v>36</v>
      </c>
      <c r="B445" t="s">
        <v>8</v>
      </c>
      <c r="C445" t="s">
        <v>10</v>
      </c>
      <c r="D445">
        <v>1.0741094E-2</v>
      </c>
      <c r="E445" s="1"/>
    </row>
    <row r="446" spans="1:5">
      <c r="A446" t="s">
        <v>36</v>
      </c>
      <c r="B446" t="s">
        <v>12</v>
      </c>
      <c r="C446" t="s">
        <v>678</v>
      </c>
      <c r="D446">
        <v>105.698776243</v>
      </c>
    </row>
    <row r="447" spans="1:5">
      <c r="A447" t="s">
        <v>36</v>
      </c>
      <c r="B447" t="s">
        <v>12</v>
      </c>
      <c r="C447" t="s">
        <v>10</v>
      </c>
      <c r="D447">
        <v>6602.0396098190004</v>
      </c>
    </row>
    <row r="448" spans="1:5">
      <c r="A448" t="s">
        <v>36</v>
      </c>
      <c r="B448" t="s">
        <v>8</v>
      </c>
      <c r="C448" t="s">
        <v>12</v>
      </c>
      <c r="D448">
        <v>6707.7383860620002</v>
      </c>
    </row>
    <row r="449" spans="1:5">
      <c r="A449" t="s">
        <v>36</v>
      </c>
      <c r="B449" t="s">
        <v>16</v>
      </c>
      <c r="C449" t="s">
        <v>678</v>
      </c>
      <c r="D449">
        <v>2102.967737686</v>
      </c>
    </row>
    <row r="450" spans="1:5">
      <c r="A450" t="s">
        <v>36</v>
      </c>
      <c r="B450" t="s">
        <v>16</v>
      </c>
      <c r="C450" t="s">
        <v>10</v>
      </c>
      <c r="D450">
        <v>85783.727986355996</v>
      </c>
    </row>
    <row r="451" spans="1:5">
      <c r="A451" t="s">
        <v>36</v>
      </c>
      <c r="B451" t="s">
        <v>790</v>
      </c>
      <c r="C451" t="s">
        <v>678</v>
      </c>
      <c r="D451">
        <v>0</v>
      </c>
    </row>
    <row r="452" spans="1:5">
      <c r="A452" t="s">
        <v>36</v>
      </c>
      <c r="B452" t="s">
        <v>790</v>
      </c>
      <c r="C452" t="s">
        <v>10</v>
      </c>
      <c r="D452">
        <v>0</v>
      </c>
    </row>
    <row r="453" spans="1:5">
      <c r="A453" t="s">
        <v>36</v>
      </c>
      <c r="B453" t="s">
        <v>8</v>
      </c>
      <c r="C453" t="s">
        <v>790</v>
      </c>
      <c r="D453">
        <v>0</v>
      </c>
    </row>
    <row r="454" spans="1:5">
      <c r="A454" t="s">
        <v>36</v>
      </c>
      <c r="B454" t="s">
        <v>8</v>
      </c>
      <c r="C454" t="s">
        <v>6</v>
      </c>
      <c r="D454">
        <v>-5123.7997100000002</v>
      </c>
    </row>
    <row r="455" spans="1:5">
      <c r="A455" t="s">
        <v>36</v>
      </c>
      <c r="B455" t="s">
        <v>15</v>
      </c>
      <c r="C455" t="s">
        <v>6</v>
      </c>
      <c r="D455">
        <v>39436.76</v>
      </c>
    </row>
    <row r="456" spans="1:5">
      <c r="A456" t="s">
        <v>36</v>
      </c>
      <c r="B456" t="s">
        <v>5</v>
      </c>
      <c r="C456" t="s">
        <v>6</v>
      </c>
      <c r="D456">
        <v>11326.12</v>
      </c>
    </row>
    <row r="457" spans="1:5">
      <c r="A457" t="s">
        <v>36</v>
      </c>
      <c r="B457" t="s">
        <v>15</v>
      </c>
      <c r="C457" t="s">
        <v>5</v>
      </c>
      <c r="D457">
        <v>11326.12</v>
      </c>
    </row>
    <row r="458" spans="1:5">
      <c r="A458" t="s">
        <v>36</v>
      </c>
      <c r="B458" t="s">
        <v>6</v>
      </c>
      <c r="C458" t="s">
        <v>8</v>
      </c>
      <c r="D458">
        <v>0</v>
      </c>
    </row>
    <row r="459" spans="1:5">
      <c r="A459" t="s">
        <v>36</v>
      </c>
      <c r="B459" t="s">
        <v>16</v>
      </c>
      <c r="C459" t="s">
        <v>15</v>
      </c>
      <c r="D459">
        <v>8849.0655835699999</v>
      </c>
    </row>
    <row r="460" spans="1:5">
      <c r="A460" t="s">
        <v>36</v>
      </c>
      <c r="B460" t="s">
        <v>8</v>
      </c>
      <c r="C460" t="s">
        <v>15</v>
      </c>
      <c r="D460">
        <v>1.4598826000000001E-2</v>
      </c>
      <c r="E460" s="1"/>
    </row>
    <row r="461" spans="1:5">
      <c r="A461" t="s">
        <v>38</v>
      </c>
      <c r="B461" t="s">
        <v>678</v>
      </c>
      <c r="C461" t="s">
        <v>678</v>
      </c>
      <c r="D461">
        <v>1817.47414</v>
      </c>
    </row>
    <row r="462" spans="1:5">
      <c r="A462" t="s">
        <v>38</v>
      </c>
      <c r="B462" t="s">
        <v>10</v>
      </c>
      <c r="C462" t="s">
        <v>678</v>
      </c>
      <c r="D462">
        <v>4735.5739999999996</v>
      </c>
    </row>
    <row r="463" spans="1:5">
      <c r="A463" t="s">
        <v>38</v>
      </c>
      <c r="B463" t="s">
        <v>678</v>
      </c>
      <c r="C463" t="s">
        <v>10</v>
      </c>
      <c r="D463">
        <v>12212.21</v>
      </c>
    </row>
    <row r="464" spans="1:5">
      <c r="A464" t="s">
        <v>38</v>
      </c>
      <c r="B464" t="s">
        <v>10</v>
      </c>
      <c r="C464" t="s">
        <v>10</v>
      </c>
      <c r="D464">
        <v>71200.95</v>
      </c>
    </row>
    <row r="465" spans="1:4">
      <c r="A465" t="s">
        <v>38</v>
      </c>
      <c r="B465" t="s">
        <v>11</v>
      </c>
      <c r="C465" t="s">
        <v>678</v>
      </c>
      <c r="D465">
        <v>-5.6805494999999998E-2</v>
      </c>
    </row>
    <row r="466" spans="1:4">
      <c r="A466" t="s">
        <v>38</v>
      </c>
      <c r="B466" t="s">
        <v>11</v>
      </c>
      <c r="C466" t="s">
        <v>10</v>
      </c>
      <c r="D466">
        <v>27.45446622</v>
      </c>
    </row>
    <row r="467" spans="1:4">
      <c r="A467" t="s">
        <v>38</v>
      </c>
      <c r="B467" t="s">
        <v>678</v>
      </c>
      <c r="C467" t="s">
        <v>6</v>
      </c>
      <c r="D467">
        <v>6993.8140999999996</v>
      </c>
    </row>
    <row r="468" spans="1:4">
      <c r="A468" t="s">
        <v>38</v>
      </c>
      <c r="B468" t="s">
        <v>10</v>
      </c>
      <c r="C468" t="s">
        <v>6</v>
      </c>
      <c r="D468">
        <v>52764.947999999997</v>
      </c>
    </row>
    <row r="469" spans="1:4">
      <c r="A469" t="s">
        <v>38</v>
      </c>
      <c r="B469" t="s">
        <v>11</v>
      </c>
      <c r="C469" t="s">
        <v>6</v>
      </c>
      <c r="D469">
        <v>-29.643976567999999</v>
      </c>
    </row>
    <row r="470" spans="1:4">
      <c r="A470" t="s">
        <v>38</v>
      </c>
      <c r="B470" t="s">
        <v>678</v>
      </c>
      <c r="C470" t="s">
        <v>8</v>
      </c>
      <c r="D470">
        <v>0.92611279999999996</v>
      </c>
    </row>
    <row r="471" spans="1:4">
      <c r="A471" t="s">
        <v>38</v>
      </c>
      <c r="B471" t="s">
        <v>10</v>
      </c>
      <c r="C471" t="s">
        <v>8</v>
      </c>
      <c r="D471">
        <v>10590.972841999999</v>
      </c>
    </row>
    <row r="472" spans="1:4">
      <c r="A472" t="s">
        <v>38</v>
      </c>
      <c r="B472" t="s">
        <v>11</v>
      </c>
      <c r="C472" t="s">
        <v>8</v>
      </c>
      <c r="D472">
        <v>2.13788E-3</v>
      </c>
    </row>
    <row r="473" spans="1:4">
      <c r="A473" t="s">
        <v>38</v>
      </c>
      <c r="B473" t="s">
        <v>678</v>
      </c>
      <c r="C473" t="s">
        <v>15</v>
      </c>
      <c r="D473">
        <v>1170.1249</v>
      </c>
    </row>
    <row r="474" spans="1:4">
      <c r="A474" t="s">
        <v>38</v>
      </c>
      <c r="B474" t="s">
        <v>10</v>
      </c>
      <c r="C474" t="s">
        <v>15</v>
      </c>
      <c r="D474">
        <v>18937.987000000001</v>
      </c>
    </row>
    <row r="475" spans="1:4">
      <c r="A475" t="s">
        <v>38</v>
      </c>
      <c r="B475" t="s">
        <v>11</v>
      </c>
      <c r="C475" t="s">
        <v>15</v>
      </c>
      <c r="D475">
        <v>3.235938226</v>
      </c>
    </row>
    <row r="476" spans="1:4">
      <c r="A476" t="s">
        <v>38</v>
      </c>
      <c r="B476" t="s">
        <v>8</v>
      </c>
      <c r="C476" t="s">
        <v>11</v>
      </c>
      <c r="D476">
        <v>0.99176026299999998</v>
      </c>
    </row>
    <row r="477" spans="1:4">
      <c r="A477" t="s">
        <v>38</v>
      </c>
      <c r="B477" t="s">
        <v>678</v>
      </c>
      <c r="C477" t="s">
        <v>7</v>
      </c>
      <c r="D477">
        <v>0</v>
      </c>
    </row>
    <row r="478" spans="1:4">
      <c r="A478" t="s">
        <v>38</v>
      </c>
      <c r="B478" t="s">
        <v>10</v>
      </c>
      <c r="C478" t="s">
        <v>7</v>
      </c>
      <c r="D478">
        <v>-46.011184299999996</v>
      </c>
    </row>
    <row r="479" spans="1:4">
      <c r="A479" t="s">
        <v>38</v>
      </c>
      <c r="B479" t="s">
        <v>7</v>
      </c>
      <c r="C479" t="s">
        <v>8</v>
      </c>
      <c r="D479">
        <v>-46.011184299999996</v>
      </c>
    </row>
    <row r="480" spans="1:4">
      <c r="A480" t="s">
        <v>38</v>
      </c>
      <c r="B480" t="s">
        <v>678</v>
      </c>
      <c r="C480" t="s">
        <v>16</v>
      </c>
      <c r="D480">
        <v>715.12555444199995</v>
      </c>
    </row>
    <row r="481" spans="1:4">
      <c r="A481" t="s">
        <v>38</v>
      </c>
      <c r="B481" t="s">
        <v>10</v>
      </c>
      <c r="C481" t="s">
        <v>16</v>
      </c>
      <c r="D481">
        <v>37985.963478238002</v>
      </c>
    </row>
    <row r="482" spans="1:4">
      <c r="A482" t="s">
        <v>38</v>
      </c>
      <c r="B482" t="s">
        <v>678</v>
      </c>
      <c r="C482" t="s">
        <v>17</v>
      </c>
      <c r="D482">
        <v>0</v>
      </c>
    </row>
    <row r="483" spans="1:4">
      <c r="A483" t="s">
        <v>38</v>
      </c>
      <c r="B483" t="s">
        <v>10</v>
      </c>
      <c r="C483" t="s">
        <v>17</v>
      </c>
      <c r="D483">
        <v>457.10129999999998</v>
      </c>
    </row>
    <row r="484" spans="1:4">
      <c r="A484" t="s">
        <v>38</v>
      </c>
      <c r="B484" t="s">
        <v>17</v>
      </c>
      <c r="C484" t="s">
        <v>16</v>
      </c>
      <c r="D484">
        <v>457.10129999999998</v>
      </c>
    </row>
    <row r="485" spans="1:4">
      <c r="A485" t="s">
        <v>38</v>
      </c>
      <c r="B485" t="s">
        <v>14</v>
      </c>
      <c r="C485" t="s">
        <v>678</v>
      </c>
      <c r="D485">
        <v>5347.5240000000003</v>
      </c>
    </row>
    <row r="486" spans="1:4">
      <c r="A486" t="s">
        <v>38</v>
      </c>
      <c r="B486" t="s">
        <v>14</v>
      </c>
      <c r="C486" t="s">
        <v>10</v>
      </c>
      <c r="D486">
        <v>19805.099999999999</v>
      </c>
    </row>
    <row r="487" spans="1:4">
      <c r="A487" t="s">
        <v>38</v>
      </c>
      <c r="B487" t="s">
        <v>6</v>
      </c>
      <c r="C487" t="s">
        <v>14</v>
      </c>
      <c r="D487">
        <v>25152.624</v>
      </c>
    </row>
    <row r="488" spans="1:4">
      <c r="A488" t="s">
        <v>38</v>
      </c>
      <c r="B488" t="s">
        <v>8</v>
      </c>
      <c r="C488" t="s">
        <v>14</v>
      </c>
      <c r="D488">
        <v>0</v>
      </c>
    </row>
    <row r="489" spans="1:4">
      <c r="A489" t="s">
        <v>38</v>
      </c>
      <c r="B489" t="s">
        <v>9</v>
      </c>
      <c r="C489" t="s">
        <v>678</v>
      </c>
      <c r="D489">
        <v>6442.2110000000002</v>
      </c>
    </row>
    <row r="490" spans="1:4">
      <c r="A490" t="s">
        <v>38</v>
      </c>
      <c r="B490" t="s">
        <v>9</v>
      </c>
      <c r="C490" t="s">
        <v>10</v>
      </c>
      <c r="D490">
        <v>117.1923</v>
      </c>
    </row>
    <row r="491" spans="1:4">
      <c r="A491" t="s">
        <v>38</v>
      </c>
      <c r="B491" t="s">
        <v>6</v>
      </c>
      <c r="C491" t="s">
        <v>9</v>
      </c>
      <c r="D491">
        <v>6559.4032999999999</v>
      </c>
    </row>
    <row r="492" spans="1:4">
      <c r="A492" t="s">
        <v>38</v>
      </c>
      <c r="B492" t="s">
        <v>13</v>
      </c>
      <c r="C492" t="s">
        <v>678</v>
      </c>
      <c r="D492">
        <v>2522.0279999999998</v>
      </c>
    </row>
    <row r="493" spans="1:4">
      <c r="A493" t="s">
        <v>38</v>
      </c>
      <c r="B493" t="s">
        <v>13</v>
      </c>
      <c r="C493" t="s">
        <v>10</v>
      </c>
      <c r="D493">
        <v>24716.04</v>
      </c>
    </row>
    <row r="494" spans="1:4">
      <c r="A494" t="s">
        <v>38</v>
      </c>
      <c r="B494" t="s">
        <v>6</v>
      </c>
      <c r="C494" t="s">
        <v>13</v>
      </c>
      <c r="D494">
        <v>27238.067999999999</v>
      </c>
    </row>
    <row r="495" spans="1:4">
      <c r="A495" t="s">
        <v>38</v>
      </c>
      <c r="B495" t="s">
        <v>8</v>
      </c>
      <c r="C495" t="s">
        <v>678</v>
      </c>
      <c r="D495">
        <v>565.12518233699996</v>
      </c>
    </row>
    <row r="496" spans="1:4">
      <c r="A496" t="s">
        <v>38</v>
      </c>
      <c r="B496" t="s">
        <v>8</v>
      </c>
      <c r="C496" t="s">
        <v>10</v>
      </c>
      <c r="D496">
        <v>5503.538827718</v>
      </c>
    </row>
    <row r="497" spans="1:4">
      <c r="A497" t="s">
        <v>38</v>
      </c>
      <c r="B497" t="s">
        <v>12</v>
      </c>
      <c r="C497" t="s">
        <v>678</v>
      </c>
      <c r="D497">
        <v>104.560763693</v>
      </c>
    </row>
    <row r="498" spans="1:4">
      <c r="A498" t="s">
        <v>38</v>
      </c>
      <c r="B498" t="s">
        <v>12</v>
      </c>
      <c r="C498" t="s">
        <v>10</v>
      </c>
      <c r="D498">
        <v>8261.9871419610008</v>
      </c>
    </row>
    <row r="499" spans="1:4">
      <c r="A499" t="s">
        <v>38</v>
      </c>
      <c r="B499" t="s">
        <v>8</v>
      </c>
      <c r="C499" t="s">
        <v>12</v>
      </c>
      <c r="D499">
        <v>8366.5479056540007</v>
      </c>
    </row>
    <row r="500" spans="1:4">
      <c r="A500" t="s">
        <v>38</v>
      </c>
      <c r="B500" t="s">
        <v>16</v>
      </c>
      <c r="C500" t="s">
        <v>678</v>
      </c>
      <c r="D500">
        <v>1375.234452657</v>
      </c>
    </row>
    <row r="501" spans="1:4">
      <c r="A501" t="s">
        <v>38</v>
      </c>
      <c r="B501" t="s">
        <v>16</v>
      </c>
      <c r="C501" t="s">
        <v>10</v>
      </c>
      <c r="D501">
        <v>54783.011530543998</v>
      </c>
    </row>
    <row r="502" spans="1:4">
      <c r="A502" t="s">
        <v>38</v>
      </c>
      <c r="B502" t="s">
        <v>790</v>
      </c>
      <c r="C502" t="s">
        <v>678</v>
      </c>
      <c r="D502">
        <v>0</v>
      </c>
    </row>
    <row r="503" spans="1:4">
      <c r="A503" t="s">
        <v>38</v>
      </c>
      <c r="B503" t="s">
        <v>790</v>
      </c>
      <c r="C503" t="s">
        <v>10</v>
      </c>
      <c r="D503">
        <v>0</v>
      </c>
    </row>
    <row r="504" spans="1:4">
      <c r="A504" t="s">
        <v>38</v>
      </c>
      <c r="B504" t="s">
        <v>8</v>
      </c>
      <c r="C504" t="s">
        <v>790</v>
      </c>
      <c r="D504">
        <v>0</v>
      </c>
    </row>
    <row r="505" spans="1:4">
      <c r="A505" t="s">
        <v>38</v>
      </c>
      <c r="B505" t="s">
        <v>8</v>
      </c>
      <c r="C505" t="s">
        <v>6</v>
      </c>
      <c r="D505">
        <v>-3890.3068234319999</v>
      </c>
    </row>
    <row r="506" spans="1:4">
      <c r="A506" t="s">
        <v>38</v>
      </c>
      <c r="B506" t="s">
        <v>15</v>
      </c>
      <c r="C506" t="s">
        <v>6</v>
      </c>
      <c r="D506">
        <v>-5640.6570000000002</v>
      </c>
    </row>
    <row r="507" spans="1:4">
      <c r="A507" t="s">
        <v>38</v>
      </c>
      <c r="B507" t="s">
        <v>5</v>
      </c>
      <c r="C507" t="s">
        <v>6</v>
      </c>
      <c r="D507">
        <v>8751.9410000000007</v>
      </c>
    </row>
    <row r="508" spans="1:4">
      <c r="A508" t="s">
        <v>38</v>
      </c>
      <c r="B508" t="s">
        <v>15</v>
      </c>
      <c r="C508" t="s">
        <v>5</v>
      </c>
      <c r="D508">
        <v>8751.9410000000007</v>
      </c>
    </row>
    <row r="509" spans="1:4">
      <c r="A509" t="s">
        <v>38</v>
      </c>
      <c r="B509" t="s">
        <v>6</v>
      </c>
      <c r="C509" t="s">
        <v>8</v>
      </c>
      <c r="D509">
        <v>0</v>
      </c>
    </row>
    <row r="510" spans="1:4">
      <c r="A510" t="s">
        <v>38</v>
      </c>
      <c r="B510" t="s">
        <v>15</v>
      </c>
      <c r="C510" t="s">
        <v>16</v>
      </c>
      <c r="D510">
        <v>17000.055650521001</v>
      </c>
    </row>
    <row r="511" spans="1:4">
      <c r="A511" t="s">
        <v>38</v>
      </c>
      <c r="B511" t="s">
        <v>15</v>
      </c>
      <c r="C511" t="s">
        <v>8</v>
      </c>
      <c r="D511">
        <v>6.9441609999999999E-3</v>
      </c>
    </row>
    <row r="512" spans="1:4">
      <c r="A512" t="s">
        <v>40</v>
      </c>
      <c r="B512" t="s">
        <v>678</v>
      </c>
      <c r="C512" t="s">
        <v>678</v>
      </c>
      <c r="D512">
        <v>130.10051999999999</v>
      </c>
    </row>
    <row r="513" spans="1:5">
      <c r="A513" t="s">
        <v>40</v>
      </c>
      <c r="B513" t="s">
        <v>10</v>
      </c>
      <c r="C513" t="s">
        <v>678</v>
      </c>
      <c r="D513">
        <v>969.62909999999999</v>
      </c>
    </row>
    <row r="514" spans="1:5">
      <c r="A514" t="s">
        <v>40</v>
      </c>
      <c r="B514" t="s">
        <v>678</v>
      </c>
      <c r="C514" t="s">
        <v>10</v>
      </c>
      <c r="D514">
        <v>1117.5623000000001</v>
      </c>
    </row>
    <row r="515" spans="1:5">
      <c r="A515" t="s">
        <v>40</v>
      </c>
      <c r="B515" t="s">
        <v>10</v>
      </c>
      <c r="C515" t="s">
        <v>10</v>
      </c>
      <c r="D515">
        <v>141948</v>
      </c>
      <c r="E515" s="1"/>
    </row>
    <row r="516" spans="1:5">
      <c r="A516" t="s">
        <v>40</v>
      </c>
      <c r="B516" t="s">
        <v>11</v>
      </c>
      <c r="C516" t="s">
        <v>678</v>
      </c>
      <c r="D516">
        <v>39.657219929999997</v>
      </c>
    </row>
    <row r="517" spans="1:5">
      <c r="A517" t="s">
        <v>40</v>
      </c>
      <c r="B517" t="s">
        <v>11</v>
      </c>
      <c r="C517" t="s">
        <v>10</v>
      </c>
      <c r="D517">
        <v>4070.6562055999998</v>
      </c>
    </row>
    <row r="518" spans="1:5">
      <c r="A518" t="s">
        <v>40</v>
      </c>
      <c r="B518" t="s">
        <v>678</v>
      </c>
      <c r="C518" t="s">
        <v>6</v>
      </c>
      <c r="D518">
        <v>1821.0762</v>
      </c>
      <c r="E518" s="1"/>
    </row>
    <row r="519" spans="1:5">
      <c r="A519" t="s">
        <v>40</v>
      </c>
      <c r="B519" t="s">
        <v>10</v>
      </c>
      <c r="C519" t="s">
        <v>6</v>
      </c>
      <c r="D519">
        <v>33560.300000000003</v>
      </c>
      <c r="E519" s="1"/>
    </row>
    <row r="520" spans="1:5">
      <c r="A520" t="s">
        <v>40</v>
      </c>
      <c r="B520" t="s">
        <v>11</v>
      </c>
      <c r="C520" t="s">
        <v>6</v>
      </c>
      <c r="D520">
        <v>3726.0123238000001</v>
      </c>
    </row>
    <row r="521" spans="1:5">
      <c r="A521" t="s">
        <v>40</v>
      </c>
      <c r="B521" t="s">
        <v>678</v>
      </c>
      <c r="C521" t="s">
        <v>8</v>
      </c>
      <c r="D521">
        <v>2.2206465</v>
      </c>
    </row>
    <row r="522" spans="1:5">
      <c r="A522" t="s">
        <v>40</v>
      </c>
      <c r="B522" t="s">
        <v>10</v>
      </c>
      <c r="C522" t="s">
        <v>8</v>
      </c>
      <c r="D522">
        <v>9031.8235999999997</v>
      </c>
    </row>
    <row r="523" spans="1:5">
      <c r="A523" t="s">
        <v>40</v>
      </c>
      <c r="B523" t="s">
        <v>11</v>
      </c>
      <c r="C523" t="s">
        <v>8</v>
      </c>
      <c r="D523">
        <v>2.1264444710000001</v>
      </c>
    </row>
    <row r="524" spans="1:5">
      <c r="A524" t="s">
        <v>40</v>
      </c>
      <c r="B524" t="s">
        <v>678</v>
      </c>
      <c r="C524" t="s">
        <v>15</v>
      </c>
      <c r="D524">
        <v>1.8465615900000001</v>
      </c>
    </row>
    <row r="525" spans="1:5">
      <c r="A525" t="s">
        <v>40</v>
      </c>
      <c r="B525" t="s">
        <v>10</v>
      </c>
      <c r="C525" t="s">
        <v>15</v>
      </c>
      <c r="D525">
        <v>34646.49</v>
      </c>
      <c r="E525" s="1"/>
    </row>
    <row r="526" spans="1:5">
      <c r="A526" t="s">
        <v>40</v>
      </c>
      <c r="B526" t="s">
        <v>11</v>
      </c>
      <c r="C526" t="s">
        <v>15</v>
      </c>
      <c r="D526">
        <v>968.51053369600004</v>
      </c>
    </row>
    <row r="527" spans="1:5">
      <c r="A527" t="s">
        <v>40</v>
      </c>
      <c r="B527" t="s">
        <v>8</v>
      </c>
      <c r="C527" t="s">
        <v>11</v>
      </c>
      <c r="D527">
        <v>8806.9627274979994</v>
      </c>
    </row>
    <row r="528" spans="1:5">
      <c r="A528" t="s">
        <v>40</v>
      </c>
      <c r="B528" t="s">
        <v>678</v>
      </c>
      <c r="C528" t="s">
        <v>7</v>
      </c>
      <c r="D528">
        <v>0</v>
      </c>
    </row>
    <row r="529" spans="1:5">
      <c r="A529" t="s">
        <v>40</v>
      </c>
      <c r="B529" t="s">
        <v>10</v>
      </c>
      <c r="C529" t="s">
        <v>7</v>
      </c>
      <c r="D529">
        <v>-2.7651791499999998</v>
      </c>
    </row>
    <row r="530" spans="1:5">
      <c r="A530" t="s">
        <v>40</v>
      </c>
      <c r="B530" t="s">
        <v>7</v>
      </c>
      <c r="C530" t="s">
        <v>8</v>
      </c>
      <c r="D530">
        <v>-2.7651791499999998</v>
      </c>
    </row>
    <row r="531" spans="1:5">
      <c r="A531" t="s">
        <v>40</v>
      </c>
      <c r="B531" t="s">
        <v>678</v>
      </c>
      <c r="C531" t="s">
        <v>16</v>
      </c>
      <c r="D531">
        <v>959.89603734399998</v>
      </c>
    </row>
    <row r="532" spans="1:5">
      <c r="A532" t="s">
        <v>40</v>
      </c>
      <c r="B532" t="s">
        <v>10</v>
      </c>
      <c r="C532" t="s">
        <v>16</v>
      </c>
      <c r="D532">
        <v>113311.31086</v>
      </c>
      <c r="E532" s="1"/>
    </row>
    <row r="533" spans="1:5">
      <c r="A533" t="s">
        <v>40</v>
      </c>
      <c r="B533" t="s">
        <v>678</v>
      </c>
      <c r="C533" t="s">
        <v>17</v>
      </c>
      <c r="D533">
        <v>0</v>
      </c>
    </row>
    <row r="534" spans="1:5">
      <c r="A534" t="s">
        <v>40</v>
      </c>
      <c r="B534" t="s">
        <v>10</v>
      </c>
      <c r="C534" t="s">
        <v>17</v>
      </c>
      <c r="D534">
        <v>4774.88</v>
      </c>
    </row>
    <row r="535" spans="1:5">
      <c r="A535" t="s">
        <v>40</v>
      </c>
      <c r="B535" t="s">
        <v>17</v>
      </c>
      <c r="C535" t="s">
        <v>16</v>
      </c>
      <c r="D535">
        <v>4774.88</v>
      </c>
    </row>
    <row r="536" spans="1:5">
      <c r="A536" t="s">
        <v>40</v>
      </c>
      <c r="B536" t="s">
        <v>14</v>
      </c>
      <c r="C536" t="s">
        <v>678</v>
      </c>
      <c r="D536">
        <v>223.16470000000001</v>
      </c>
    </row>
    <row r="537" spans="1:5">
      <c r="A537" t="s">
        <v>40</v>
      </c>
      <c r="B537" t="s">
        <v>14</v>
      </c>
      <c r="C537" t="s">
        <v>10</v>
      </c>
      <c r="D537">
        <v>19916.310000000001</v>
      </c>
      <c r="E537" s="1"/>
    </row>
    <row r="538" spans="1:5">
      <c r="A538" t="s">
        <v>40</v>
      </c>
      <c r="B538" t="s">
        <v>6</v>
      </c>
      <c r="C538" t="s">
        <v>14</v>
      </c>
      <c r="D538">
        <v>20139.474699999999</v>
      </c>
      <c r="E538" s="1"/>
    </row>
    <row r="539" spans="1:5">
      <c r="A539" t="s">
        <v>40</v>
      </c>
      <c r="B539" t="s">
        <v>8</v>
      </c>
      <c r="C539" t="s">
        <v>14</v>
      </c>
      <c r="D539">
        <v>0</v>
      </c>
    </row>
    <row r="540" spans="1:5">
      <c r="A540" t="s">
        <v>40</v>
      </c>
      <c r="B540" t="s">
        <v>9</v>
      </c>
      <c r="C540" t="s">
        <v>678</v>
      </c>
      <c r="D540">
        <v>187.33998</v>
      </c>
    </row>
    <row r="541" spans="1:5">
      <c r="A541" t="s">
        <v>40</v>
      </c>
      <c r="B541" t="s">
        <v>9</v>
      </c>
      <c r="C541" t="s">
        <v>10</v>
      </c>
      <c r="D541">
        <v>6.4396630000000004</v>
      </c>
    </row>
    <row r="542" spans="1:5">
      <c r="A542" t="s">
        <v>40</v>
      </c>
      <c r="B542" t="s">
        <v>6</v>
      </c>
      <c r="C542" t="s">
        <v>9</v>
      </c>
      <c r="D542">
        <v>193.77964299999999</v>
      </c>
    </row>
    <row r="543" spans="1:5">
      <c r="A543" t="s">
        <v>40</v>
      </c>
      <c r="B543" t="s">
        <v>13</v>
      </c>
      <c r="C543" t="s">
        <v>678</v>
      </c>
      <c r="D543">
        <v>53.2074</v>
      </c>
    </row>
    <row r="544" spans="1:5">
      <c r="A544" t="s">
        <v>40</v>
      </c>
      <c r="B544" t="s">
        <v>13</v>
      </c>
      <c r="C544" t="s">
        <v>10</v>
      </c>
      <c r="D544">
        <v>20674.490000000002</v>
      </c>
      <c r="E544" s="1"/>
    </row>
    <row r="545" spans="1:5">
      <c r="A545" t="s">
        <v>40</v>
      </c>
      <c r="B545" t="s">
        <v>6</v>
      </c>
      <c r="C545" t="s">
        <v>13</v>
      </c>
      <c r="D545">
        <v>20727.697400000001</v>
      </c>
      <c r="E545" s="1"/>
    </row>
    <row r="546" spans="1:5">
      <c r="A546" t="s">
        <v>40</v>
      </c>
      <c r="B546" t="s">
        <v>8</v>
      </c>
      <c r="C546" t="s">
        <v>678</v>
      </c>
      <c r="D546">
        <v>27.178729504</v>
      </c>
    </row>
    <row r="547" spans="1:5">
      <c r="A547" t="s">
        <v>40</v>
      </c>
      <c r="B547" t="s">
        <v>8</v>
      </c>
      <c r="C547" t="s">
        <v>10</v>
      </c>
      <c r="D547">
        <v>2762.5441137339999</v>
      </c>
      <c r="E547" s="1"/>
    </row>
    <row r="548" spans="1:5">
      <c r="A548" t="s">
        <v>40</v>
      </c>
      <c r="B548" t="s">
        <v>12</v>
      </c>
      <c r="C548" t="s">
        <v>678</v>
      </c>
      <c r="D548">
        <v>381.45183958699999</v>
      </c>
    </row>
    <row r="549" spans="1:5">
      <c r="A549" t="s">
        <v>40</v>
      </c>
      <c r="B549" t="s">
        <v>12</v>
      </c>
      <c r="C549" t="s">
        <v>10</v>
      </c>
      <c r="D549">
        <v>2046.732089888</v>
      </c>
    </row>
    <row r="550" spans="1:5">
      <c r="A550" t="s">
        <v>40</v>
      </c>
      <c r="B550" t="s">
        <v>8</v>
      </c>
      <c r="C550" t="s">
        <v>12</v>
      </c>
      <c r="D550">
        <v>2428.1839294749998</v>
      </c>
    </row>
    <row r="551" spans="1:5">
      <c r="A551" t="s">
        <v>40</v>
      </c>
      <c r="B551" t="s">
        <v>16</v>
      </c>
      <c r="C551" t="s">
        <v>678</v>
      </c>
      <c r="D551">
        <v>2020.9725891579999</v>
      </c>
    </row>
    <row r="552" spans="1:5">
      <c r="A552" t="s">
        <v>40</v>
      </c>
      <c r="B552" t="s">
        <v>16</v>
      </c>
      <c r="C552" t="s">
        <v>10</v>
      </c>
      <c r="D552">
        <v>145696.98633000001</v>
      </c>
      <c r="E552" s="1"/>
    </row>
    <row r="553" spans="1:5">
      <c r="A553" t="s">
        <v>40</v>
      </c>
      <c r="B553" t="s">
        <v>790</v>
      </c>
      <c r="C553" t="s">
        <v>678</v>
      </c>
      <c r="D553">
        <v>0</v>
      </c>
    </row>
    <row r="554" spans="1:5">
      <c r="A554" t="s">
        <v>40</v>
      </c>
      <c r="B554" t="s">
        <v>790</v>
      </c>
      <c r="C554" t="s">
        <v>10</v>
      </c>
      <c r="D554">
        <v>0</v>
      </c>
    </row>
    <row r="555" spans="1:5">
      <c r="A555" t="s">
        <v>40</v>
      </c>
      <c r="B555" t="s">
        <v>8</v>
      </c>
      <c r="C555" t="s">
        <v>790</v>
      </c>
      <c r="D555">
        <v>0</v>
      </c>
    </row>
    <row r="556" spans="1:5">
      <c r="A556" t="s">
        <v>40</v>
      </c>
      <c r="B556" t="s">
        <v>8</v>
      </c>
      <c r="C556" t="s">
        <v>6</v>
      </c>
      <c r="D556">
        <v>-4991.4327807999998</v>
      </c>
      <c r="E556" s="1"/>
    </row>
    <row r="557" spans="1:5">
      <c r="A557" t="s">
        <v>40</v>
      </c>
      <c r="B557" t="s">
        <v>15</v>
      </c>
      <c r="C557" t="s">
        <v>6</v>
      </c>
      <c r="D557">
        <v>-4301.8639999999996</v>
      </c>
      <c r="E557" s="1"/>
    </row>
    <row r="558" spans="1:5">
      <c r="A558" t="s">
        <v>40</v>
      </c>
      <c r="B558" t="s">
        <v>5</v>
      </c>
      <c r="C558" t="s">
        <v>6</v>
      </c>
      <c r="D558">
        <v>11246.86</v>
      </c>
    </row>
    <row r="559" spans="1:5">
      <c r="A559" t="s">
        <v>40</v>
      </c>
      <c r="B559" t="s">
        <v>15</v>
      </c>
      <c r="C559" t="s">
        <v>5</v>
      </c>
      <c r="D559">
        <v>11246.86</v>
      </c>
    </row>
    <row r="560" spans="1:5">
      <c r="A560" t="s">
        <v>40</v>
      </c>
      <c r="B560" t="s">
        <v>6</v>
      </c>
      <c r="C560" t="s">
        <v>8</v>
      </c>
      <c r="D560">
        <v>0</v>
      </c>
    </row>
    <row r="561" spans="1:5">
      <c r="A561" t="s">
        <v>40</v>
      </c>
      <c r="B561" t="s">
        <v>15</v>
      </c>
      <c r="C561" t="s">
        <v>16</v>
      </c>
      <c r="D561">
        <v>28671.872024599001</v>
      </c>
    </row>
    <row r="562" spans="1:5">
      <c r="A562" t="s">
        <v>40</v>
      </c>
      <c r="B562" t="s">
        <v>15</v>
      </c>
      <c r="C562" t="s">
        <v>8</v>
      </c>
      <c r="D562">
        <v>3.120759E-2</v>
      </c>
      <c r="E562" s="1"/>
    </row>
    <row r="563" spans="1:5">
      <c r="A563" t="s">
        <v>42</v>
      </c>
      <c r="B563" t="s">
        <v>678</v>
      </c>
      <c r="C563" t="s">
        <v>678</v>
      </c>
      <c r="D563">
        <v>1185.9965400000001</v>
      </c>
    </row>
    <row r="564" spans="1:5">
      <c r="A564" t="s">
        <v>42</v>
      </c>
      <c r="B564" t="s">
        <v>10</v>
      </c>
      <c r="C564" t="s">
        <v>678</v>
      </c>
      <c r="D564">
        <v>3114.6423</v>
      </c>
    </row>
    <row r="565" spans="1:5">
      <c r="A565" t="s">
        <v>42</v>
      </c>
      <c r="B565" t="s">
        <v>678</v>
      </c>
      <c r="C565" t="s">
        <v>10</v>
      </c>
      <c r="D565">
        <v>9878.4922999999999</v>
      </c>
    </row>
    <row r="566" spans="1:5">
      <c r="A566" t="s">
        <v>42</v>
      </c>
      <c r="B566" t="s">
        <v>10</v>
      </c>
      <c r="C566" t="s">
        <v>10</v>
      </c>
      <c r="D566">
        <v>86144.56</v>
      </c>
      <c r="E566" s="1"/>
    </row>
    <row r="567" spans="1:5">
      <c r="A567" t="s">
        <v>42</v>
      </c>
      <c r="B567" t="s">
        <v>11</v>
      </c>
      <c r="C567" t="s">
        <v>678</v>
      </c>
      <c r="D567">
        <v>-29.569621999999999</v>
      </c>
    </row>
    <row r="568" spans="1:5">
      <c r="A568" t="s">
        <v>42</v>
      </c>
      <c r="B568" t="s">
        <v>11</v>
      </c>
      <c r="C568" t="s">
        <v>10</v>
      </c>
      <c r="D568">
        <v>-133.678696</v>
      </c>
    </row>
    <row r="569" spans="1:5">
      <c r="A569" t="s">
        <v>42</v>
      </c>
      <c r="B569" t="s">
        <v>678</v>
      </c>
      <c r="C569" t="s">
        <v>6</v>
      </c>
      <c r="D569">
        <v>7337.2240000000002</v>
      </c>
    </row>
    <row r="570" spans="1:5">
      <c r="A570" t="s">
        <v>42</v>
      </c>
      <c r="B570" t="s">
        <v>10</v>
      </c>
      <c r="C570" t="s">
        <v>6</v>
      </c>
      <c r="D570">
        <v>77145.17</v>
      </c>
    </row>
    <row r="571" spans="1:5">
      <c r="A571" t="s">
        <v>42</v>
      </c>
      <c r="B571" t="s">
        <v>11</v>
      </c>
      <c r="C571" t="s">
        <v>6</v>
      </c>
      <c r="D571">
        <v>-6.1516289999999998</v>
      </c>
    </row>
    <row r="572" spans="1:5">
      <c r="A572" t="s">
        <v>42</v>
      </c>
      <c r="B572" t="s">
        <v>678</v>
      </c>
      <c r="C572" t="s">
        <v>8</v>
      </c>
      <c r="D572">
        <v>50.188887950000002</v>
      </c>
    </row>
    <row r="573" spans="1:5">
      <c r="A573" t="s">
        <v>42</v>
      </c>
      <c r="B573" t="s">
        <v>10</v>
      </c>
      <c r="C573" t="s">
        <v>8</v>
      </c>
      <c r="D573">
        <v>15725.249</v>
      </c>
    </row>
    <row r="574" spans="1:5">
      <c r="A574" t="s">
        <v>42</v>
      </c>
      <c r="B574" t="s">
        <v>11</v>
      </c>
      <c r="C574" t="s">
        <v>8</v>
      </c>
      <c r="D574">
        <v>3.6652425339999999</v>
      </c>
    </row>
    <row r="575" spans="1:5">
      <c r="A575" t="s">
        <v>42</v>
      </c>
      <c r="B575" t="s">
        <v>678</v>
      </c>
      <c r="C575" t="s">
        <v>15</v>
      </c>
      <c r="D575">
        <v>11.978522999999999</v>
      </c>
    </row>
    <row r="576" spans="1:5">
      <c r="A576" t="s">
        <v>42</v>
      </c>
      <c r="B576" t="s">
        <v>10</v>
      </c>
      <c r="C576" t="s">
        <v>15</v>
      </c>
      <c r="D576">
        <v>54813.21</v>
      </c>
    </row>
    <row r="577" spans="1:4">
      <c r="A577" t="s">
        <v>42</v>
      </c>
      <c r="B577" t="s">
        <v>11</v>
      </c>
      <c r="C577" t="s">
        <v>15</v>
      </c>
      <c r="D577">
        <v>-25.661656749999999</v>
      </c>
    </row>
    <row r="578" spans="1:4">
      <c r="A578" t="s">
        <v>42</v>
      </c>
      <c r="B578" t="s">
        <v>8</v>
      </c>
      <c r="C578" t="s">
        <v>11</v>
      </c>
      <c r="D578">
        <v>-191.396361216</v>
      </c>
    </row>
    <row r="579" spans="1:4">
      <c r="A579" t="s">
        <v>42</v>
      </c>
      <c r="B579" t="s">
        <v>678</v>
      </c>
      <c r="C579" t="s">
        <v>7</v>
      </c>
      <c r="D579">
        <v>0</v>
      </c>
    </row>
    <row r="580" spans="1:4">
      <c r="A580" t="s">
        <v>42</v>
      </c>
      <c r="B580" t="s">
        <v>10</v>
      </c>
      <c r="C580" t="s">
        <v>7</v>
      </c>
      <c r="D580">
        <v>-119.95214346</v>
      </c>
    </row>
    <row r="581" spans="1:4">
      <c r="A581" t="s">
        <v>42</v>
      </c>
      <c r="B581" t="s">
        <v>7</v>
      </c>
      <c r="C581" t="s">
        <v>8</v>
      </c>
      <c r="D581">
        <v>-119.95214346</v>
      </c>
    </row>
    <row r="582" spans="1:4">
      <c r="A582" t="s">
        <v>42</v>
      </c>
      <c r="B582" t="s">
        <v>678</v>
      </c>
      <c r="C582" t="s">
        <v>16</v>
      </c>
      <c r="D582">
        <v>1323.439353411</v>
      </c>
    </row>
    <row r="583" spans="1:4">
      <c r="A583" t="s">
        <v>42</v>
      </c>
      <c r="B583" t="s">
        <v>10</v>
      </c>
      <c r="C583" t="s">
        <v>16</v>
      </c>
      <c r="D583">
        <v>65646.977749304002</v>
      </c>
    </row>
    <row r="584" spans="1:4">
      <c r="A584" t="s">
        <v>42</v>
      </c>
      <c r="B584" t="s">
        <v>678</v>
      </c>
      <c r="C584" t="s">
        <v>17</v>
      </c>
      <c r="D584">
        <v>0</v>
      </c>
    </row>
    <row r="585" spans="1:4">
      <c r="A585" t="s">
        <v>42</v>
      </c>
      <c r="B585" t="s">
        <v>10</v>
      </c>
      <c r="C585" t="s">
        <v>17</v>
      </c>
      <c r="D585">
        <v>865.11680000000001</v>
      </c>
    </row>
    <row r="586" spans="1:4">
      <c r="A586" t="s">
        <v>42</v>
      </c>
      <c r="B586" t="s">
        <v>17</v>
      </c>
      <c r="C586" t="s">
        <v>16</v>
      </c>
      <c r="D586">
        <v>865.11680000000001</v>
      </c>
    </row>
    <row r="587" spans="1:4">
      <c r="A587" t="s">
        <v>42</v>
      </c>
      <c r="B587" t="s">
        <v>14</v>
      </c>
      <c r="C587" t="s">
        <v>678</v>
      </c>
      <c r="D587">
        <v>5486.2510000000002</v>
      </c>
    </row>
    <row r="588" spans="1:4">
      <c r="A588" t="s">
        <v>42</v>
      </c>
      <c r="B588" t="s">
        <v>14</v>
      </c>
      <c r="C588" t="s">
        <v>10</v>
      </c>
      <c r="D588">
        <v>28560.13</v>
      </c>
    </row>
    <row r="589" spans="1:4">
      <c r="A589" t="s">
        <v>42</v>
      </c>
      <c r="B589" t="s">
        <v>6</v>
      </c>
      <c r="C589" t="s">
        <v>14</v>
      </c>
      <c r="D589">
        <v>34046.381000000001</v>
      </c>
    </row>
    <row r="590" spans="1:4">
      <c r="A590" t="s">
        <v>42</v>
      </c>
      <c r="B590" t="s">
        <v>8</v>
      </c>
      <c r="C590" t="s">
        <v>14</v>
      </c>
      <c r="D590">
        <v>0</v>
      </c>
    </row>
    <row r="591" spans="1:4">
      <c r="A591" t="s">
        <v>42</v>
      </c>
      <c r="B591" t="s">
        <v>9</v>
      </c>
      <c r="C591" t="s">
        <v>678</v>
      </c>
      <c r="D591">
        <v>4001.6178</v>
      </c>
    </row>
    <row r="592" spans="1:4">
      <c r="A592" t="s">
        <v>42</v>
      </c>
      <c r="B592" t="s">
        <v>9</v>
      </c>
      <c r="C592" t="s">
        <v>10</v>
      </c>
      <c r="D592">
        <v>318.00970000000001</v>
      </c>
    </row>
    <row r="593" spans="1:5">
      <c r="A593" t="s">
        <v>42</v>
      </c>
      <c r="B593" t="s">
        <v>6</v>
      </c>
      <c r="C593" t="s">
        <v>9</v>
      </c>
      <c r="D593">
        <v>4319.6274999999996</v>
      </c>
    </row>
    <row r="594" spans="1:5">
      <c r="A594" t="s">
        <v>42</v>
      </c>
      <c r="B594" t="s">
        <v>13</v>
      </c>
      <c r="C594" t="s">
        <v>678</v>
      </c>
      <c r="D594">
        <v>3765.154</v>
      </c>
    </row>
    <row r="595" spans="1:5">
      <c r="A595" t="s">
        <v>42</v>
      </c>
      <c r="B595" t="s">
        <v>13</v>
      </c>
      <c r="C595" t="s">
        <v>10</v>
      </c>
      <c r="D595">
        <v>90974.23</v>
      </c>
    </row>
    <row r="596" spans="1:5">
      <c r="A596" t="s">
        <v>42</v>
      </c>
      <c r="B596" t="s">
        <v>6</v>
      </c>
      <c r="C596" t="s">
        <v>13</v>
      </c>
      <c r="D596">
        <v>94739.384000000005</v>
      </c>
    </row>
    <row r="597" spans="1:5">
      <c r="A597" t="s">
        <v>42</v>
      </c>
      <c r="B597" t="s">
        <v>8</v>
      </c>
      <c r="C597" t="s">
        <v>678</v>
      </c>
      <c r="D597">
        <v>99.027252411000006</v>
      </c>
    </row>
    <row r="598" spans="1:5">
      <c r="A598" t="s">
        <v>42</v>
      </c>
      <c r="B598" t="s">
        <v>8</v>
      </c>
      <c r="C598" t="s">
        <v>10</v>
      </c>
      <c r="D598">
        <v>8054.3531018439999</v>
      </c>
      <c r="E598" s="1"/>
    </row>
    <row r="599" spans="1:5">
      <c r="A599" t="s">
        <v>42</v>
      </c>
      <c r="B599" t="s">
        <v>12</v>
      </c>
      <c r="C599" t="s">
        <v>678</v>
      </c>
      <c r="D599">
        <v>346.06044347699998</v>
      </c>
    </row>
    <row r="600" spans="1:5">
      <c r="A600" t="s">
        <v>42</v>
      </c>
      <c r="B600" t="s">
        <v>12</v>
      </c>
      <c r="C600" t="s">
        <v>10</v>
      </c>
      <c r="D600">
        <v>8253.3380256620003</v>
      </c>
    </row>
    <row r="601" spans="1:5">
      <c r="A601" t="s">
        <v>42</v>
      </c>
      <c r="B601" t="s">
        <v>8</v>
      </c>
      <c r="C601" t="s">
        <v>12</v>
      </c>
      <c r="D601">
        <v>8599.3984691389996</v>
      </c>
    </row>
    <row r="602" spans="1:5">
      <c r="A602" t="s">
        <v>42</v>
      </c>
      <c r="B602" t="s">
        <v>16</v>
      </c>
      <c r="C602" t="s">
        <v>678</v>
      </c>
      <c r="D602">
        <v>1818.13980208</v>
      </c>
    </row>
    <row r="603" spans="1:5">
      <c r="A603" t="s">
        <v>42</v>
      </c>
      <c r="B603" t="s">
        <v>16</v>
      </c>
      <c r="C603" t="s">
        <v>10</v>
      </c>
      <c r="D603">
        <v>71285.545019234007</v>
      </c>
      <c r="E603" s="1"/>
    </row>
    <row r="604" spans="1:5">
      <c r="A604" t="s">
        <v>42</v>
      </c>
      <c r="B604" t="s">
        <v>790</v>
      </c>
      <c r="C604" t="s">
        <v>678</v>
      </c>
      <c r="D604">
        <v>0</v>
      </c>
    </row>
    <row r="605" spans="1:5">
      <c r="A605" t="s">
        <v>42</v>
      </c>
      <c r="B605" t="s">
        <v>790</v>
      </c>
      <c r="C605" t="s">
        <v>10</v>
      </c>
      <c r="D605">
        <v>0</v>
      </c>
    </row>
    <row r="606" spans="1:5">
      <c r="A606" t="s">
        <v>42</v>
      </c>
      <c r="B606" t="s">
        <v>8</v>
      </c>
      <c r="C606" t="s">
        <v>790</v>
      </c>
      <c r="D606">
        <v>0</v>
      </c>
    </row>
    <row r="607" spans="1:5">
      <c r="A607" t="s">
        <v>42</v>
      </c>
      <c r="B607" t="s">
        <v>8</v>
      </c>
      <c r="C607" t="s">
        <v>6</v>
      </c>
      <c r="D607">
        <v>-902.20987100000002</v>
      </c>
    </row>
    <row r="608" spans="1:5">
      <c r="A608" t="s">
        <v>42</v>
      </c>
      <c r="B608" t="s">
        <v>15</v>
      </c>
      <c r="C608" t="s">
        <v>6</v>
      </c>
      <c r="D608">
        <v>29011.040000000001</v>
      </c>
    </row>
    <row r="609" spans="1:5">
      <c r="A609" t="s">
        <v>42</v>
      </c>
      <c r="B609" t="s">
        <v>5</v>
      </c>
      <c r="C609" t="s">
        <v>6</v>
      </c>
      <c r="D609">
        <v>20520.32</v>
      </c>
    </row>
    <row r="610" spans="1:5">
      <c r="A610" t="s">
        <v>42</v>
      </c>
      <c r="B610" t="s">
        <v>15</v>
      </c>
      <c r="C610" t="s">
        <v>5</v>
      </c>
      <c r="D610">
        <v>20520.32</v>
      </c>
    </row>
    <row r="611" spans="1:5">
      <c r="A611" t="s">
        <v>42</v>
      </c>
      <c r="B611" t="s">
        <v>6</v>
      </c>
      <c r="C611" t="s">
        <v>8</v>
      </c>
      <c r="D611">
        <v>0</v>
      </c>
    </row>
    <row r="612" spans="1:5">
      <c r="A612" t="s">
        <v>42</v>
      </c>
      <c r="B612" t="s">
        <v>15</v>
      </c>
      <c r="C612" t="s">
        <v>16</v>
      </c>
      <c r="D612">
        <v>5268.1509185989999</v>
      </c>
    </row>
    <row r="613" spans="1:5">
      <c r="A613" t="s">
        <v>42</v>
      </c>
      <c r="B613" t="s">
        <v>15</v>
      </c>
      <c r="C613" t="s">
        <v>8</v>
      </c>
      <c r="D613">
        <v>2.1604154E-2</v>
      </c>
      <c r="E613" s="1"/>
    </row>
    <row r="614" spans="1:5">
      <c r="A614" t="s">
        <v>48</v>
      </c>
      <c r="B614" t="s">
        <v>678</v>
      </c>
      <c r="C614" t="s">
        <v>678</v>
      </c>
      <c r="D614">
        <v>1717.66</v>
      </c>
    </row>
    <row r="615" spans="1:5">
      <c r="A615" t="s">
        <v>48</v>
      </c>
      <c r="B615" t="s">
        <v>10</v>
      </c>
      <c r="C615" t="s">
        <v>678</v>
      </c>
      <c r="D615">
        <v>1853.325</v>
      </c>
    </row>
    <row r="616" spans="1:5">
      <c r="A616" t="s">
        <v>48</v>
      </c>
      <c r="B616" t="s">
        <v>678</v>
      </c>
      <c r="C616" t="s">
        <v>10</v>
      </c>
      <c r="D616">
        <v>1748.9437700000001</v>
      </c>
    </row>
    <row r="617" spans="1:5">
      <c r="A617" t="s">
        <v>48</v>
      </c>
      <c r="B617" t="s">
        <v>10</v>
      </c>
      <c r="C617" t="s">
        <v>10</v>
      </c>
      <c r="D617">
        <v>16708.203000000001</v>
      </c>
      <c r="E617" s="1"/>
    </row>
    <row r="618" spans="1:5">
      <c r="A618" t="s">
        <v>48</v>
      </c>
      <c r="B618" t="s">
        <v>11</v>
      </c>
      <c r="C618" t="s">
        <v>678</v>
      </c>
      <c r="D618">
        <v>63.036700400000001</v>
      </c>
    </row>
    <row r="619" spans="1:5">
      <c r="A619" t="s">
        <v>48</v>
      </c>
      <c r="B619" t="s">
        <v>11</v>
      </c>
      <c r="C619" t="s">
        <v>10</v>
      </c>
      <c r="D619">
        <v>1189.430241</v>
      </c>
    </row>
    <row r="620" spans="1:5">
      <c r="A620" t="s">
        <v>48</v>
      </c>
      <c r="B620" t="s">
        <v>678</v>
      </c>
      <c r="C620" t="s">
        <v>6</v>
      </c>
      <c r="D620">
        <v>4963.0445200000004</v>
      </c>
    </row>
    <row r="621" spans="1:5">
      <c r="A621" t="s">
        <v>48</v>
      </c>
      <c r="B621" t="s">
        <v>10</v>
      </c>
      <c r="C621" t="s">
        <v>6</v>
      </c>
      <c r="D621">
        <v>9684.1830000000009</v>
      </c>
      <c r="E621" s="1"/>
    </row>
    <row r="622" spans="1:5">
      <c r="A622" t="s">
        <v>48</v>
      </c>
      <c r="B622" t="s">
        <v>11</v>
      </c>
      <c r="C622" t="s">
        <v>6</v>
      </c>
      <c r="D622">
        <v>821.88388499999996</v>
      </c>
    </row>
    <row r="623" spans="1:5">
      <c r="A623" t="s">
        <v>48</v>
      </c>
      <c r="B623" t="s">
        <v>678</v>
      </c>
      <c r="C623" t="s">
        <v>8</v>
      </c>
      <c r="D623">
        <v>3.3790550000000003E-2</v>
      </c>
    </row>
    <row r="624" spans="1:5">
      <c r="A624" t="s">
        <v>48</v>
      </c>
      <c r="B624" t="s">
        <v>10</v>
      </c>
      <c r="C624" t="s">
        <v>8</v>
      </c>
      <c r="D624">
        <v>2200.9096986</v>
      </c>
    </row>
    <row r="625" spans="1:5">
      <c r="A625" t="s">
        <v>48</v>
      </c>
      <c r="B625" t="s">
        <v>11</v>
      </c>
      <c r="C625" t="s">
        <v>8</v>
      </c>
      <c r="D625">
        <v>2.0161351609999998</v>
      </c>
    </row>
    <row r="626" spans="1:5">
      <c r="A626" t="s">
        <v>48</v>
      </c>
      <c r="B626" t="s">
        <v>678</v>
      </c>
      <c r="C626" t="s">
        <v>15</v>
      </c>
      <c r="D626">
        <v>171.63531399999999</v>
      </c>
    </row>
    <row r="627" spans="1:5">
      <c r="A627" t="s">
        <v>48</v>
      </c>
      <c r="B627" t="s">
        <v>10</v>
      </c>
      <c r="C627" t="s">
        <v>15</v>
      </c>
      <c r="D627">
        <v>6975.6440000000002</v>
      </c>
    </row>
    <row r="628" spans="1:5">
      <c r="A628" t="s">
        <v>48</v>
      </c>
      <c r="B628" t="s">
        <v>11</v>
      </c>
      <c r="C628" t="s">
        <v>15</v>
      </c>
      <c r="D628">
        <v>99.672171000000006</v>
      </c>
    </row>
    <row r="629" spans="1:5">
      <c r="A629" t="s">
        <v>48</v>
      </c>
      <c r="B629" t="s">
        <v>8</v>
      </c>
      <c r="C629" t="s">
        <v>11</v>
      </c>
      <c r="D629">
        <v>2176.0391325609999</v>
      </c>
    </row>
    <row r="630" spans="1:5">
      <c r="A630" t="s">
        <v>48</v>
      </c>
      <c r="B630" t="s">
        <v>678</v>
      </c>
      <c r="C630" t="s">
        <v>7</v>
      </c>
      <c r="D630">
        <v>0</v>
      </c>
    </row>
    <row r="631" spans="1:5">
      <c r="A631" t="s">
        <v>48</v>
      </c>
      <c r="B631" t="s">
        <v>10</v>
      </c>
      <c r="C631" t="s">
        <v>7</v>
      </c>
      <c r="D631">
        <v>0</v>
      </c>
    </row>
    <row r="632" spans="1:5">
      <c r="A632" t="s">
        <v>48</v>
      </c>
      <c r="B632" t="s">
        <v>7</v>
      </c>
      <c r="C632" t="s">
        <v>8</v>
      </c>
      <c r="D632">
        <v>0</v>
      </c>
    </row>
    <row r="633" spans="1:5">
      <c r="A633" t="s">
        <v>48</v>
      </c>
      <c r="B633" t="s">
        <v>678</v>
      </c>
      <c r="C633" t="s">
        <v>16</v>
      </c>
      <c r="D633">
        <v>961.15800581400003</v>
      </c>
    </row>
    <row r="634" spans="1:5">
      <c r="A634" t="s">
        <v>48</v>
      </c>
      <c r="B634" t="s">
        <v>10</v>
      </c>
      <c r="C634" t="s">
        <v>16</v>
      </c>
      <c r="D634">
        <v>8302.8319245389994</v>
      </c>
      <c r="E634" s="1"/>
    </row>
    <row r="635" spans="1:5">
      <c r="A635" t="s">
        <v>48</v>
      </c>
      <c r="B635" t="s">
        <v>678</v>
      </c>
      <c r="C635" t="s">
        <v>17</v>
      </c>
      <c r="D635">
        <v>0</v>
      </c>
    </row>
    <row r="636" spans="1:5">
      <c r="A636" t="s">
        <v>48</v>
      </c>
      <c r="B636" t="s">
        <v>10</v>
      </c>
      <c r="C636" t="s">
        <v>17</v>
      </c>
      <c r="D636">
        <v>147.0796</v>
      </c>
    </row>
    <row r="637" spans="1:5">
      <c r="A637" t="s">
        <v>48</v>
      </c>
      <c r="B637" t="s">
        <v>17</v>
      </c>
      <c r="C637" t="s">
        <v>16</v>
      </c>
      <c r="D637">
        <v>147.0796</v>
      </c>
    </row>
    <row r="638" spans="1:5">
      <c r="A638" t="s">
        <v>48</v>
      </c>
      <c r="B638" t="s">
        <v>14</v>
      </c>
      <c r="C638" t="s">
        <v>678</v>
      </c>
      <c r="D638">
        <v>3178.9119999999998</v>
      </c>
    </row>
    <row r="639" spans="1:5">
      <c r="A639" t="s">
        <v>48</v>
      </c>
      <c r="B639" t="s">
        <v>14</v>
      </c>
      <c r="C639" t="s">
        <v>10</v>
      </c>
      <c r="D639">
        <v>7513.4780000000001</v>
      </c>
      <c r="E639" s="1"/>
    </row>
    <row r="640" spans="1:5">
      <c r="A640" t="s">
        <v>48</v>
      </c>
      <c r="B640" t="s">
        <v>6</v>
      </c>
      <c r="C640" t="s">
        <v>14</v>
      </c>
      <c r="D640">
        <v>10692.39</v>
      </c>
      <c r="E640" s="1"/>
    </row>
    <row r="641" spans="1:5">
      <c r="A641" t="s">
        <v>48</v>
      </c>
      <c r="B641" t="s">
        <v>8</v>
      </c>
      <c r="C641" t="s">
        <v>14</v>
      </c>
      <c r="D641">
        <v>0</v>
      </c>
    </row>
    <row r="642" spans="1:5">
      <c r="A642" t="s">
        <v>48</v>
      </c>
      <c r="B642" t="s">
        <v>9</v>
      </c>
      <c r="C642" t="s">
        <v>678</v>
      </c>
      <c r="D642">
        <v>2348.78764</v>
      </c>
    </row>
    <row r="643" spans="1:5">
      <c r="A643" t="s">
        <v>48</v>
      </c>
      <c r="B643" t="s">
        <v>9</v>
      </c>
      <c r="C643" t="s">
        <v>10</v>
      </c>
      <c r="D643">
        <v>334.6936</v>
      </c>
    </row>
    <row r="644" spans="1:5">
      <c r="A644" t="s">
        <v>48</v>
      </c>
      <c r="B644" t="s">
        <v>6</v>
      </c>
      <c r="C644" t="s">
        <v>9</v>
      </c>
      <c r="D644">
        <v>2683.4812400000001</v>
      </c>
    </row>
    <row r="645" spans="1:5">
      <c r="A645" t="s">
        <v>48</v>
      </c>
      <c r="B645" t="s">
        <v>13</v>
      </c>
      <c r="C645" t="s">
        <v>678</v>
      </c>
      <c r="D645">
        <v>255.38380000000001</v>
      </c>
    </row>
    <row r="646" spans="1:5">
      <c r="A646" t="s">
        <v>48</v>
      </c>
      <c r="B646" t="s">
        <v>13</v>
      </c>
      <c r="C646" t="s">
        <v>10</v>
      </c>
      <c r="D646">
        <v>4293.6319999999996</v>
      </c>
    </row>
    <row r="647" spans="1:5">
      <c r="A647" t="s">
        <v>48</v>
      </c>
      <c r="B647" t="s">
        <v>6</v>
      </c>
      <c r="C647" t="s">
        <v>13</v>
      </c>
      <c r="D647">
        <v>4549.0158000000001</v>
      </c>
    </row>
    <row r="648" spans="1:5">
      <c r="A648" t="s">
        <v>48</v>
      </c>
      <c r="B648" t="s">
        <v>8</v>
      </c>
      <c r="C648" t="s">
        <v>678</v>
      </c>
      <c r="D648">
        <v>4.0016139999999997E-3</v>
      </c>
    </row>
    <row r="649" spans="1:5">
      <c r="A649" t="s">
        <v>48</v>
      </c>
      <c r="B649" t="s">
        <v>8</v>
      </c>
      <c r="C649" t="s">
        <v>10</v>
      </c>
      <c r="D649">
        <v>380.38091353900001</v>
      </c>
      <c r="E649" s="1"/>
    </row>
    <row r="650" spans="1:5">
      <c r="A650" t="s">
        <v>48</v>
      </c>
      <c r="B650" t="s">
        <v>12</v>
      </c>
      <c r="C650" t="s">
        <v>678</v>
      </c>
      <c r="D650">
        <v>16.710807839000001</v>
      </c>
    </row>
    <row r="651" spans="1:5">
      <c r="A651" t="s">
        <v>48</v>
      </c>
      <c r="B651" t="s">
        <v>12</v>
      </c>
      <c r="C651" t="s">
        <v>10</v>
      </c>
      <c r="D651">
        <v>1522.070103557</v>
      </c>
    </row>
    <row r="652" spans="1:5">
      <c r="A652" t="s">
        <v>48</v>
      </c>
      <c r="B652" t="s">
        <v>8</v>
      </c>
      <c r="C652" t="s">
        <v>12</v>
      </c>
      <c r="D652">
        <v>1538.780911395</v>
      </c>
    </row>
    <row r="653" spans="1:5">
      <c r="A653" t="s">
        <v>48</v>
      </c>
      <c r="B653" t="s">
        <v>16</v>
      </c>
      <c r="C653" t="s">
        <v>678</v>
      </c>
      <c r="D653">
        <v>128.65546708599999</v>
      </c>
    </row>
    <row r="654" spans="1:5">
      <c r="A654" t="s">
        <v>48</v>
      </c>
      <c r="B654" t="s">
        <v>16</v>
      </c>
      <c r="C654" t="s">
        <v>10</v>
      </c>
      <c r="D654">
        <v>12181.343387692001</v>
      </c>
      <c r="E654" s="1"/>
    </row>
    <row r="655" spans="1:5">
      <c r="A655" t="s">
        <v>48</v>
      </c>
      <c r="B655" t="s">
        <v>790</v>
      </c>
      <c r="C655" t="s">
        <v>678</v>
      </c>
      <c r="D655">
        <v>0</v>
      </c>
    </row>
    <row r="656" spans="1:5">
      <c r="A656" t="s">
        <v>48</v>
      </c>
      <c r="B656" t="s">
        <v>790</v>
      </c>
      <c r="C656" t="s">
        <v>10</v>
      </c>
      <c r="D656">
        <v>0</v>
      </c>
    </row>
    <row r="657" spans="1:5">
      <c r="A657" t="s">
        <v>48</v>
      </c>
      <c r="B657" t="s">
        <v>8</v>
      </c>
      <c r="C657" t="s">
        <v>790</v>
      </c>
      <c r="D657">
        <v>0</v>
      </c>
    </row>
    <row r="658" spans="1:5">
      <c r="A658" t="s">
        <v>48</v>
      </c>
      <c r="B658" t="s">
        <v>8</v>
      </c>
      <c r="C658" t="s">
        <v>6</v>
      </c>
      <c r="D658">
        <v>-1892.245365</v>
      </c>
    </row>
    <row r="659" spans="1:5">
      <c r="A659" t="s">
        <v>48</v>
      </c>
      <c r="B659" t="s">
        <v>15</v>
      </c>
      <c r="C659" t="s">
        <v>6</v>
      </c>
      <c r="D659">
        <v>1946.4079999999999</v>
      </c>
    </row>
    <row r="660" spans="1:5">
      <c r="A660" t="s">
        <v>48</v>
      </c>
      <c r="B660" t="s">
        <v>5</v>
      </c>
      <c r="C660" t="s">
        <v>6</v>
      </c>
      <c r="D660">
        <v>2401.6129999999998</v>
      </c>
    </row>
    <row r="661" spans="1:5">
      <c r="A661" t="s">
        <v>48</v>
      </c>
      <c r="B661" t="s">
        <v>15</v>
      </c>
      <c r="C661" t="s">
        <v>5</v>
      </c>
      <c r="D661">
        <v>2401.6129999999998</v>
      </c>
    </row>
    <row r="662" spans="1:5">
      <c r="A662" t="s">
        <v>48</v>
      </c>
      <c r="B662" t="s">
        <v>6</v>
      </c>
      <c r="C662" t="s">
        <v>8</v>
      </c>
      <c r="D662">
        <v>0</v>
      </c>
    </row>
    <row r="663" spans="1:5">
      <c r="A663" t="s">
        <v>48</v>
      </c>
      <c r="B663" t="s">
        <v>15</v>
      </c>
      <c r="C663" t="s">
        <v>16</v>
      </c>
      <c r="D663">
        <v>2898.9293244249998</v>
      </c>
    </row>
    <row r="664" spans="1:5">
      <c r="A664" t="s">
        <v>48</v>
      </c>
      <c r="B664" t="s">
        <v>8</v>
      </c>
      <c r="C664" t="s">
        <v>15</v>
      </c>
      <c r="D664">
        <v>3.0202E-5</v>
      </c>
      <c r="E664" s="1"/>
    </row>
    <row r="665" spans="1:5">
      <c r="A665" t="s">
        <v>215</v>
      </c>
      <c r="B665" t="s">
        <v>678</v>
      </c>
      <c r="C665" t="s">
        <v>678</v>
      </c>
      <c r="D665">
        <v>2274.1858400000001</v>
      </c>
    </row>
    <row r="666" spans="1:5">
      <c r="A666" t="s">
        <v>215</v>
      </c>
      <c r="B666" t="s">
        <v>10</v>
      </c>
      <c r="C666" t="s">
        <v>678</v>
      </c>
      <c r="D666">
        <v>6286.4804000000004</v>
      </c>
    </row>
    <row r="667" spans="1:5">
      <c r="A667" t="s">
        <v>215</v>
      </c>
      <c r="B667" t="s">
        <v>678</v>
      </c>
      <c r="C667" t="s">
        <v>10</v>
      </c>
      <c r="D667">
        <v>7911.6674999999996</v>
      </c>
    </row>
    <row r="668" spans="1:5">
      <c r="A668" t="s">
        <v>215</v>
      </c>
      <c r="B668" t="s">
        <v>10</v>
      </c>
      <c r="C668" t="s">
        <v>10</v>
      </c>
      <c r="D668">
        <v>28194.621999999999</v>
      </c>
      <c r="E668" s="1"/>
    </row>
    <row r="669" spans="1:5">
      <c r="A669" t="s">
        <v>215</v>
      </c>
      <c r="B669" t="s">
        <v>11</v>
      </c>
      <c r="C669" t="s">
        <v>678</v>
      </c>
      <c r="D669">
        <v>86.050934499999997</v>
      </c>
    </row>
    <row r="670" spans="1:5">
      <c r="A670" t="s">
        <v>215</v>
      </c>
      <c r="B670" t="s">
        <v>11</v>
      </c>
      <c r="C670" t="s">
        <v>10</v>
      </c>
      <c r="D670">
        <v>580.28226400000005</v>
      </c>
    </row>
    <row r="671" spans="1:5">
      <c r="A671" t="s">
        <v>215</v>
      </c>
      <c r="B671" t="s">
        <v>678</v>
      </c>
      <c r="C671" t="s">
        <v>6</v>
      </c>
      <c r="D671">
        <v>6458.2595000000001</v>
      </c>
    </row>
    <row r="672" spans="1:5">
      <c r="A672" t="s">
        <v>215</v>
      </c>
      <c r="B672" t="s">
        <v>10</v>
      </c>
      <c r="C672" t="s">
        <v>6</v>
      </c>
      <c r="D672">
        <v>28290.43</v>
      </c>
      <c r="E672" s="1"/>
    </row>
    <row r="673" spans="1:4">
      <c r="A673" t="s">
        <v>215</v>
      </c>
      <c r="B673" t="s">
        <v>11</v>
      </c>
      <c r="C673" t="s">
        <v>6</v>
      </c>
      <c r="D673">
        <v>253.8235377</v>
      </c>
    </row>
    <row r="674" spans="1:4">
      <c r="A674" t="s">
        <v>215</v>
      </c>
      <c r="B674" t="s">
        <v>678</v>
      </c>
      <c r="C674" t="s">
        <v>8</v>
      </c>
      <c r="D674">
        <v>4.0672199999999999E-4</v>
      </c>
    </row>
    <row r="675" spans="1:4">
      <c r="A675" t="s">
        <v>215</v>
      </c>
      <c r="B675" t="s">
        <v>10</v>
      </c>
      <c r="C675" t="s">
        <v>8</v>
      </c>
      <c r="D675">
        <v>1832.5351000000001</v>
      </c>
    </row>
    <row r="676" spans="1:4">
      <c r="A676" t="s">
        <v>215</v>
      </c>
      <c r="B676" t="s">
        <v>11</v>
      </c>
      <c r="C676" t="s">
        <v>8</v>
      </c>
      <c r="D676">
        <v>0</v>
      </c>
    </row>
    <row r="677" spans="1:4">
      <c r="A677" t="s">
        <v>215</v>
      </c>
      <c r="B677" t="s">
        <v>678</v>
      </c>
      <c r="C677" t="s">
        <v>15</v>
      </c>
      <c r="D677">
        <v>2.5446453000000001E-2</v>
      </c>
    </row>
    <row r="678" spans="1:4">
      <c r="A678" t="s">
        <v>215</v>
      </c>
      <c r="B678" t="s">
        <v>10</v>
      </c>
      <c r="C678" t="s">
        <v>15</v>
      </c>
      <c r="D678">
        <v>8741.1807000000008</v>
      </c>
    </row>
    <row r="679" spans="1:4">
      <c r="A679" t="s">
        <v>215</v>
      </c>
      <c r="B679" t="s">
        <v>11</v>
      </c>
      <c r="C679" t="s">
        <v>15</v>
      </c>
      <c r="D679">
        <v>100.9128</v>
      </c>
    </row>
    <row r="680" spans="1:4">
      <c r="A680" t="s">
        <v>215</v>
      </c>
      <c r="B680" t="s">
        <v>8</v>
      </c>
      <c r="C680" t="s">
        <v>11</v>
      </c>
      <c r="D680">
        <v>1021.0695362</v>
      </c>
    </row>
    <row r="681" spans="1:4">
      <c r="A681" t="s">
        <v>215</v>
      </c>
      <c r="B681" t="s">
        <v>678</v>
      </c>
      <c r="C681" t="s">
        <v>7</v>
      </c>
      <c r="D681">
        <v>0</v>
      </c>
    </row>
    <row r="682" spans="1:4">
      <c r="A682" t="s">
        <v>215</v>
      </c>
      <c r="B682" t="s">
        <v>10</v>
      </c>
      <c r="C682" t="s">
        <v>7</v>
      </c>
      <c r="D682">
        <v>-91.193497230000006</v>
      </c>
    </row>
    <row r="683" spans="1:4">
      <c r="A683" t="s">
        <v>215</v>
      </c>
      <c r="B683" t="s">
        <v>7</v>
      </c>
      <c r="C683" t="s">
        <v>8</v>
      </c>
      <c r="D683">
        <v>-91.193497230000006</v>
      </c>
    </row>
    <row r="684" spans="1:4">
      <c r="A684" t="s">
        <v>215</v>
      </c>
      <c r="B684" t="s">
        <v>678</v>
      </c>
      <c r="C684" t="s">
        <v>16</v>
      </c>
      <c r="D684">
        <v>162.16986159199999</v>
      </c>
    </row>
    <row r="685" spans="1:4">
      <c r="A685" t="s">
        <v>215</v>
      </c>
      <c r="B685" t="s">
        <v>10</v>
      </c>
      <c r="C685" t="s">
        <v>16</v>
      </c>
      <c r="D685">
        <v>5144.7839539659999</v>
      </c>
    </row>
    <row r="686" spans="1:4">
      <c r="A686" t="s">
        <v>215</v>
      </c>
      <c r="B686" t="s">
        <v>678</v>
      </c>
      <c r="C686" t="s">
        <v>17</v>
      </c>
      <c r="D686">
        <v>0</v>
      </c>
    </row>
    <row r="687" spans="1:4">
      <c r="A687" t="s">
        <v>215</v>
      </c>
      <c r="B687" t="s">
        <v>10</v>
      </c>
      <c r="C687" t="s">
        <v>17</v>
      </c>
      <c r="D687">
        <v>23.97523</v>
      </c>
    </row>
    <row r="688" spans="1:4">
      <c r="A688" t="s">
        <v>215</v>
      </c>
      <c r="B688" t="s">
        <v>17</v>
      </c>
      <c r="C688" t="s">
        <v>16</v>
      </c>
      <c r="D688">
        <v>23.97523</v>
      </c>
    </row>
    <row r="689" spans="1:5">
      <c r="A689" t="s">
        <v>215</v>
      </c>
      <c r="B689" t="s">
        <v>14</v>
      </c>
      <c r="C689" t="s">
        <v>678</v>
      </c>
      <c r="D689">
        <v>2127.9929999999999</v>
      </c>
    </row>
    <row r="690" spans="1:5">
      <c r="A690" t="s">
        <v>215</v>
      </c>
      <c r="B690" t="s">
        <v>14</v>
      </c>
      <c r="C690" t="s">
        <v>10</v>
      </c>
      <c r="D690">
        <v>16647.16</v>
      </c>
      <c r="E690" s="1"/>
    </row>
    <row r="691" spans="1:5">
      <c r="A691" t="s">
        <v>215</v>
      </c>
      <c r="B691" t="s">
        <v>6</v>
      </c>
      <c r="C691" t="s">
        <v>14</v>
      </c>
      <c r="D691">
        <v>18775.152999999998</v>
      </c>
      <c r="E691" s="1"/>
    </row>
    <row r="692" spans="1:5">
      <c r="A692" t="s">
        <v>215</v>
      </c>
      <c r="B692" t="s">
        <v>8</v>
      </c>
      <c r="C692" t="s">
        <v>14</v>
      </c>
      <c r="D692">
        <v>0</v>
      </c>
    </row>
    <row r="693" spans="1:5">
      <c r="A693" t="s">
        <v>215</v>
      </c>
      <c r="B693" t="s">
        <v>9</v>
      </c>
      <c r="C693" t="s">
        <v>678</v>
      </c>
      <c r="D693">
        <v>2892.4167000000002</v>
      </c>
    </row>
    <row r="694" spans="1:5">
      <c r="A694" t="s">
        <v>215</v>
      </c>
      <c r="B694" t="s">
        <v>9</v>
      </c>
      <c r="C694" t="s">
        <v>10</v>
      </c>
      <c r="D694">
        <v>35.191650000000003</v>
      </c>
    </row>
    <row r="695" spans="1:5">
      <c r="A695" t="s">
        <v>215</v>
      </c>
      <c r="B695" t="s">
        <v>6</v>
      </c>
      <c r="C695" t="s">
        <v>9</v>
      </c>
      <c r="D695">
        <v>2927.60835</v>
      </c>
    </row>
    <row r="696" spans="1:5">
      <c r="A696" t="s">
        <v>215</v>
      </c>
      <c r="B696" t="s">
        <v>13</v>
      </c>
      <c r="C696" t="s">
        <v>678</v>
      </c>
      <c r="D696">
        <v>2059.152</v>
      </c>
    </row>
    <row r="697" spans="1:5">
      <c r="A697" t="s">
        <v>215</v>
      </c>
      <c r="B697" t="s">
        <v>13</v>
      </c>
      <c r="C697" t="s">
        <v>10</v>
      </c>
      <c r="D697">
        <v>13717.13</v>
      </c>
    </row>
    <row r="698" spans="1:5">
      <c r="A698" t="s">
        <v>215</v>
      </c>
      <c r="B698" t="s">
        <v>6</v>
      </c>
      <c r="C698" t="s">
        <v>13</v>
      </c>
      <c r="D698">
        <v>15776.281999999999</v>
      </c>
      <c r="E698" s="1"/>
    </row>
    <row r="699" spans="1:5">
      <c r="A699" t="s">
        <v>215</v>
      </c>
      <c r="B699" t="s">
        <v>8</v>
      </c>
      <c r="C699" t="s">
        <v>678</v>
      </c>
      <c r="D699">
        <v>97.901845037000001</v>
      </c>
    </row>
    <row r="700" spans="1:5">
      <c r="A700" t="s">
        <v>215</v>
      </c>
      <c r="B700" t="s">
        <v>8</v>
      </c>
      <c r="C700" t="s">
        <v>10</v>
      </c>
      <c r="D700">
        <v>-42.954727263999999</v>
      </c>
      <c r="E700" s="1"/>
    </row>
    <row r="701" spans="1:5">
      <c r="A701" t="s">
        <v>215</v>
      </c>
      <c r="B701" t="s">
        <v>12</v>
      </c>
      <c r="C701" t="s">
        <v>678</v>
      </c>
      <c r="D701">
        <v>353.911450844</v>
      </c>
    </row>
    <row r="702" spans="1:5">
      <c r="A702" t="s">
        <v>215</v>
      </c>
      <c r="B702" t="s">
        <v>12</v>
      </c>
      <c r="C702" t="s">
        <v>10</v>
      </c>
      <c r="D702">
        <v>4664.3893810589998</v>
      </c>
    </row>
    <row r="703" spans="1:5">
      <c r="A703" t="s">
        <v>215</v>
      </c>
      <c r="B703" t="s">
        <v>8</v>
      </c>
      <c r="C703" t="s">
        <v>12</v>
      </c>
      <c r="D703">
        <v>5018.3008319029996</v>
      </c>
    </row>
    <row r="704" spans="1:5">
      <c r="A704" t="s">
        <v>215</v>
      </c>
      <c r="B704" t="s">
        <v>16</v>
      </c>
      <c r="C704" t="s">
        <v>678</v>
      </c>
      <c r="D704">
        <v>628.21640344100001</v>
      </c>
    </row>
    <row r="705" spans="1:5">
      <c r="A705" t="s">
        <v>215</v>
      </c>
      <c r="B705" t="s">
        <v>16</v>
      </c>
      <c r="C705" t="s">
        <v>10</v>
      </c>
      <c r="D705">
        <v>6715.326007136</v>
      </c>
    </row>
    <row r="706" spans="1:5">
      <c r="A706" t="s">
        <v>215</v>
      </c>
      <c r="B706" t="s">
        <v>790</v>
      </c>
      <c r="C706" t="s">
        <v>678</v>
      </c>
      <c r="D706">
        <v>0</v>
      </c>
    </row>
    <row r="707" spans="1:5">
      <c r="A707" t="s">
        <v>215</v>
      </c>
      <c r="B707" t="s">
        <v>790</v>
      </c>
      <c r="C707" t="s">
        <v>10</v>
      </c>
      <c r="D707">
        <v>0</v>
      </c>
    </row>
    <row r="708" spans="1:5">
      <c r="A708" t="s">
        <v>215</v>
      </c>
      <c r="B708" t="s">
        <v>8</v>
      </c>
      <c r="C708" t="s">
        <v>790</v>
      </c>
      <c r="D708">
        <v>0</v>
      </c>
    </row>
    <row r="709" spans="1:5">
      <c r="A709" t="s">
        <v>215</v>
      </c>
      <c r="B709" t="s">
        <v>8</v>
      </c>
      <c r="C709" t="s">
        <v>6</v>
      </c>
      <c r="D709">
        <v>-4352.9886876999999</v>
      </c>
      <c r="E709" s="1"/>
    </row>
    <row r="710" spans="1:5">
      <c r="A710" t="s">
        <v>215</v>
      </c>
      <c r="B710" t="s">
        <v>15</v>
      </c>
      <c r="C710" t="s">
        <v>6</v>
      </c>
      <c r="D710">
        <v>2948.5230000000001</v>
      </c>
    </row>
    <row r="711" spans="1:5">
      <c r="A711" t="s">
        <v>215</v>
      </c>
      <c r="B711" t="s">
        <v>5</v>
      </c>
      <c r="C711" t="s">
        <v>6</v>
      </c>
      <c r="D711">
        <v>3880.9960000000001</v>
      </c>
    </row>
    <row r="712" spans="1:5">
      <c r="A712" t="s">
        <v>215</v>
      </c>
      <c r="B712" t="s">
        <v>15</v>
      </c>
      <c r="C712" t="s">
        <v>5</v>
      </c>
      <c r="D712">
        <v>3880.9960000000001</v>
      </c>
    </row>
    <row r="713" spans="1:5">
      <c r="A713" t="s">
        <v>215</v>
      </c>
      <c r="B713" t="s">
        <v>6</v>
      </c>
      <c r="C713" t="s">
        <v>8</v>
      </c>
      <c r="D713">
        <v>0</v>
      </c>
    </row>
    <row r="714" spans="1:5">
      <c r="A714" t="s">
        <v>215</v>
      </c>
      <c r="B714" t="s">
        <v>15</v>
      </c>
      <c r="C714" t="s">
        <v>16</v>
      </c>
      <c r="D714">
        <v>2012.613365019</v>
      </c>
    </row>
    <row r="715" spans="1:5">
      <c r="A715" t="s">
        <v>215</v>
      </c>
      <c r="B715" t="s">
        <v>8</v>
      </c>
      <c r="C715" t="s">
        <v>15</v>
      </c>
      <c r="D715">
        <v>1.3211316000000001E-2</v>
      </c>
      <c r="E715" s="1"/>
    </row>
    <row r="716" spans="1:5">
      <c r="A716" t="s">
        <v>30</v>
      </c>
      <c r="B716" t="s">
        <v>678</v>
      </c>
      <c r="C716" t="s">
        <v>678</v>
      </c>
      <c r="D716">
        <v>29440.856899999999</v>
      </c>
    </row>
    <row r="717" spans="1:5">
      <c r="A717" t="s">
        <v>30</v>
      </c>
      <c r="B717" t="s">
        <v>10</v>
      </c>
      <c r="C717" t="s">
        <v>678</v>
      </c>
      <c r="D717">
        <v>24877.413</v>
      </c>
    </row>
    <row r="718" spans="1:5">
      <c r="A718" t="s">
        <v>30</v>
      </c>
      <c r="B718" t="s">
        <v>678</v>
      </c>
      <c r="C718" t="s">
        <v>10</v>
      </c>
      <c r="D718">
        <v>27472.7307</v>
      </c>
    </row>
    <row r="719" spans="1:5">
      <c r="A719" t="s">
        <v>30</v>
      </c>
      <c r="B719" t="s">
        <v>10</v>
      </c>
      <c r="C719" t="s">
        <v>10</v>
      </c>
      <c r="D719">
        <v>238914.63</v>
      </c>
    </row>
    <row r="720" spans="1:5">
      <c r="A720" t="s">
        <v>30</v>
      </c>
      <c r="B720" t="s">
        <v>11</v>
      </c>
      <c r="C720" t="s">
        <v>678</v>
      </c>
      <c r="D720">
        <v>962.25206290699998</v>
      </c>
    </row>
    <row r="721" spans="1:4">
      <c r="A721" t="s">
        <v>30</v>
      </c>
      <c r="B721" t="s">
        <v>11</v>
      </c>
      <c r="C721" t="s">
        <v>10</v>
      </c>
      <c r="D721">
        <v>14087.291502148</v>
      </c>
    </row>
    <row r="722" spans="1:4">
      <c r="A722" t="s">
        <v>30</v>
      </c>
      <c r="B722" t="s">
        <v>678</v>
      </c>
      <c r="C722" t="s">
        <v>6</v>
      </c>
      <c r="D722">
        <v>87117.948999999993</v>
      </c>
    </row>
    <row r="723" spans="1:4">
      <c r="A723" t="s">
        <v>30</v>
      </c>
      <c r="B723" t="s">
        <v>10</v>
      </c>
      <c r="C723" t="s">
        <v>6</v>
      </c>
      <c r="D723">
        <v>154067.35999999999</v>
      </c>
    </row>
    <row r="724" spans="1:4">
      <c r="A724" t="s">
        <v>30</v>
      </c>
      <c r="B724" t="s">
        <v>11</v>
      </c>
      <c r="C724" t="s">
        <v>6</v>
      </c>
      <c r="D724">
        <v>17265.770860000001</v>
      </c>
    </row>
    <row r="725" spans="1:4">
      <c r="A725" t="s">
        <v>30</v>
      </c>
      <c r="B725" t="s">
        <v>678</v>
      </c>
      <c r="C725" t="s">
        <v>8</v>
      </c>
      <c r="D725">
        <v>115.32348500000001</v>
      </c>
    </row>
    <row r="726" spans="1:4">
      <c r="A726" t="s">
        <v>30</v>
      </c>
      <c r="B726" t="s">
        <v>10</v>
      </c>
      <c r="C726" t="s">
        <v>8</v>
      </c>
      <c r="D726">
        <v>45014.455999999998</v>
      </c>
    </row>
    <row r="727" spans="1:4">
      <c r="A727" t="s">
        <v>30</v>
      </c>
      <c r="B727" t="s">
        <v>11</v>
      </c>
      <c r="C727" t="s">
        <v>8</v>
      </c>
      <c r="D727">
        <v>1657.6717231</v>
      </c>
    </row>
    <row r="728" spans="1:4">
      <c r="A728" t="s">
        <v>30</v>
      </c>
      <c r="B728" t="s">
        <v>678</v>
      </c>
      <c r="C728" t="s">
        <v>15</v>
      </c>
      <c r="D728">
        <v>2897.11762</v>
      </c>
    </row>
    <row r="729" spans="1:4">
      <c r="A729" t="s">
        <v>30</v>
      </c>
      <c r="B729" t="s">
        <v>10</v>
      </c>
      <c r="C729" t="s">
        <v>15</v>
      </c>
      <c r="D729">
        <v>86039.11</v>
      </c>
    </row>
    <row r="730" spans="1:4">
      <c r="A730" t="s">
        <v>30</v>
      </c>
      <c r="B730" t="s">
        <v>11</v>
      </c>
      <c r="C730" t="s">
        <v>15</v>
      </c>
      <c r="D730">
        <v>7360.887095</v>
      </c>
    </row>
    <row r="731" spans="1:4">
      <c r="A731" t="s">
        <v>30</v>
      </c>
      <c r="B731" t="s">
        <v>8</v>
      </c>
      <c r="C731" t="s">
        <v>11</v>
      </c>
      <c r="D731">
        <v>41333.873243155002</v>
      </c>
    </row>
    <row r="732" spans="1:4">
      <c r="A732" t="s">
        <v>30</v>
      </c>
      <c r="B732" t="s">
        <v>678</v>
      </c>
      <c r="C732" t="s">
        <v>7</v>
      </c>
      <c r="D732">
        <v>0</v>
      </c>
    </row>
    <row r="733" spans="1:4">
      <c r="A733" t="s">
        <v>30</v>
      </c>
      <c r="B733" t="s">
        <v>10</v>
      </c>
      <c r="C733" t="s">
        <v>7</v>
      </c>
      <c r="D733">
        <v>-758.04858579999996</v>
      </c>
    </row>
    <row r="734" spans="1:4">
      <c r="A734" t="s">
        <v>30</v>
      </c>
      <c r="B734" t="s">
        <v>7</v>
      </c>
      <c r="C734" t="s">
        <v>8</v>
      </c>
      <c r="D734">
        <v>-758.04858579999996</v>
      </c>
    </row>
    <row r="735" spans="1:4">
      <c r="A735" t="s">
        <v>30</v>
      </c>
      <c r="B735" t="s">
        <v>678</v>
      </c>
      <c r="C735" t="s">
        <v>16</v>
      </c>
      <c r="D735">
        <v>2921.5833866100002</v>
      </c>
    </row>
    <row r="736" spans="1:4">
      <c r="A736" t="s">
        <v>30</v>
      </c>
      <c r="B736" t="s">
        <v>10</v>
      </c>
      <c r="C736" t="s">
        <v>16</v>
      </c>
      <c r="D736">
        <v>42721.577232939999</v>
      </c>
    </row>
    <row r="737" spans="1:4">
      <c r="A737" t="s">
        <v>30</v>
      </c>
      <c r="B737" t="s">
        <v>678</v>
      </c>
      <c r="C737" t="s">
        <v>17</v>
      </c>
      <c r="D737">
        <v>0</v>
      </c>
    </row>
    <row r="738" spans="1:4">
      <c r="A738" t="s">
        <v>30</v>
      </c>
      <c r="B738" t="s">
        <v>10</v>
      </c>
      <c r="C738" t="s">
        <v>17</v>
      </c>
      <c r="D738">
        <v>1744.115</v>
      </c>
    </row>
    <row r="739" spans="1:4">
      <c r="A739" t="s">
        <v>30</v>
      </c>
      <c r="B739" t="s">
        <v>17</v>
      </c>
      <c r="C739" t="s">
        <v>16</v>
      </c>
      <c r="D739">
        <v>1744.115</v>
      </c>
    </row>
    <row r="740" spans="1:4">
      <c r="A740" t="s">
        <v>30</v>
      </c>
      <c r="B740" t="s">
        <v>14</v>
      </c>
      <c r="C740" t="s">
        <v>678</v>
      </c>
      <c r="D740">
        <v>34272.660000000003</v>
      </c>
    </row>
    <row r="741" spans="1:4">
      <c r="A741" t="s">
        <v>30</v>
      </c>
      <c r="B741" t="s">
        <v>14</v>
      </c>
      <c r="C741" t="s">
        <v>10</v>
      </c>
      <c r="D741">
        <v>123033.60000000001</v>
      </c>
    </row>
    <row r="742" spans="1:4">
      <c r="A742" t="s">
        <v>30</v>
      </c>
      <c r="B742" t="s">
        <v>6</v>
      </c>
      <c r="C742" t="s">
        <v>14</v>
      </c>
      <c r="D742">
        <v>157306.26</v>
      </c>
    </row>
    <row r="743" spans="1:4">
      <c r="A743" t="s">
        <v>30</v>
      </c>
      <c r="B743" t="s">
        <v>8</v>
      </c>
      <c r="C743" t="s">
        <v>14</v>
      </c>
      <c r="D743">
        <v>0</v>
      </c>
    </row>
    <row r="744" spans="1:4">
      <c r="A744" t="s">
        <v>30</v>
      </c>
      <c r="B744" t="s">
        <v>9</v>
      </c>
      <c r="C744" t="s">
        <v>678</v>
      </c>
      <c r="D744">
        <v>39428.635000000002</v>
      </c>
    </row>
    <row r="745" spans="1:4">
      <c r="A745" t="s">
        <v>30</v>
      </c>
      <c r="B745" t="s">
        <v>9</v>
      </c>
      <c r="C745" t="s">
        <v>10</v>
      </c>
      <c r="D745">
        <v>2152.8780000000002</v>
      </c>
    </row>
    <row r="746" spans="1:4">
      <c r="A746" t="s">
        <v>30</v>
      </c>
      <c r="B746" t="s">
        <v>6</v>
      </c>
      <c r="C746" t="s">
        <v>9</v>
      </c>
      <c r="D746">
        <v>41581.512999999999</v>
      </c>
    </row>
    <row r="747" spans="1:4">
      <c r="A747" t="s">
        <v>30</v>
      </c>
      <c r="B747" t="s">
        <v>13</v>
      </c>
      <c r="C747" t="s">
        <v>678</v>
      </c>
      <c r="D747">
        <v>21680.26</v>
      </c>
    </row>
    <row r="748" spans="1:4">
      <c r="A748" t="s">
        <v>30</v>
      </c>
      <c r="B748" t="s">
        <v>13</v>
      </c>
      <c r="C748" t="s">
        <v>10</v>
      </c>
      <c r="D748">
        <v>91073.14</v>
      </c>
    </row>
    <row r="749" spans="1:4">
      <c r="A749" t="s">
        <v>30</v>
      </c>
      <c r="B749" t="s">
        <v>6</v>
      </c>
      <c r="C749" t="s">
        <v>13</v>
      </c>
      <c r="D749">
        <v>112753.4</v>
      </c>
    </row>
    <row r="750" spans="1:4">
      <c r="A750" t="s">
        <v>30</v>
      </c>
      <c r="B750" t="s">
        <v>8</v>
      </c>
      <c r="C750" t="s">
        <v>678</v>
      </c>
      <c r="D750">
        <v>-2919.9472762969999</v>
      </c>
    </row>
    <row r="751" spans="1:4">
      <c r="A751" t="s">
        <v>30</v>
      </c>
      <c r="B751" t="s">
        <v>8</v>
      </c>
      <c r="C751" t="s">
        <v>10</v>
      </c>
      <c r="D751">
        <v>29417.083444992</v>
      </c>
    </row>
    <row r="752" spans="1:4">
      <c r="A752" t="s">
        <v>30</v>
      </c>
      <c r="B752" t="s">
        <v>12</v>
      </c>
      <c r="C752" t="s">
        <v>678</v>
      </c>
      <c r="D752">
        <v>311.08485698300001</v>
      </c>
    </row>
    <row r="753" spans="1:4">
      <c r="A753" t="s">
        <v>30</v>
      </c>
      <c r="B753" t="s">
        <v>12</v>
      </c>
      <c r="C753" t="s">
        <v>10</v>
      </c>
      <c r="D753">
        <v>19124.367166560001</v>
      </c>
    </row>
    <row r="754" spans="1:4">
      <c r="A754" t="s">
        <v>30</v>
      </c>
      <c r="B754" t="s">
        <v>8</v>
      </c>
      <c r="C754" t="s">
        <v>12</v>
      </c>
      <c r="D754">
        <v>19435.452023542999</v>
      </c>
    </row>
    <row r="755" spans="1:4">
      <c r="A755" t="s">
        <v>30</v>
      </c>
      <c r="B755" t="s">
        <v>16</v>
      </c>
      <c r="C755" t="s">
        <v>678</v>
      </c>
      <c r="D755">
        <v>1912.346385734</v>
      </c>
    </row>
    <row r="756" spans="1:4">
      <c r="A756" t="s">
        <v>30</v>
      </c>
      <c r="B756" t="s">
        <v>16</v>
      </c>
      <c r="C756" t="s">
        <v>10</v>
      </c>
      <c r="D756">
        <v>47344.885756691001</v>
      </c>
    </row>
    <row r="757" spans="1:4">
      <c r="A757" t="s">
        <v>30</v>
      </c>
      <c r="B757" t="s">
        <v>790</v>
      </c>
      <c r="C757" t="s">
        <v>678</v>
      </c>
      <c r="D757">
        <v>0</v>
      </c>
    </row>
    <row r="758" spans="1:4">
      <c r="A758" t="s">
        <v>30</v>
      </c>
      <c r="B758" t="s">
        <v>790</v>
      </c>
      <c r="C758" t="s">
        <v>10</v>
      </c>
      <c r="D758">
        <v>0</v>
      </c>
    </row>
    <row r="759" spans="1:4">
      <c r="A759" t="s">
        <v>30</v>
      </c>
      <c r="B759" t="s">
        <v>8</v>
      </c>
      <c r="C759" t="s">
        <v>790</v>
      </c>
      <c r="D759">
        <v>0</v>
      </c>
    </row>
    <row r="760" spans="1:4">
      <c r="A760" t="s">
        <v>30</v>
      </c>
      <c r="B760" t="s">
        <v>8</v>
      </c>
      <c r="C760" t="s">
        <v>6</v>
      </c>
      <c r="D760">
        <v>-41237.126859999997</v>
      </c>
    </row>
    <row r="761" spans="1:4">
      <c r="A761" t="s">
        <v>30</v>
      </c>
      <c r="B761" t="s">
        <v>15</v>
      </c>
      <c r="C761" t="s">
        <v>6</v>
      </c>
      <c r="D761">
        <v>58522.75</v>
      </c>
    </row>
    <row r="762" spans="1:4">
      <c r="A762" t="s">
        <v>30</v>
      </c>
      <c r="B762" t="s">
        <v>5</v>
      </c>
      <c r="C762" t="s">
        <v>6</v>
      </c>
      <c r="D762">
        <v>35904.47</v>
      </c>
    </row>
    <row r="763" spans="1:4">
      <c r="A763" t="s">
        <v>30</v>
      </c>
      <c r="B763" t="s">
        <v>15</v>
      </c>
      <c r="C763" t="s">
        <v>5</v>
      </c>
      <c r="D763">
        <v>35904.47</v>
      </c>
    </row>
    <row r="764" spans="1:4">
      <c r="A764" t="s">
        <v>30</v>
      </c>
      <c r="B764" t="s">
        <v>6</v>
      </c>
      <c r="C764" t="s">
        <v>8</v>
      </c>
      <c r="D764">
        <v>0</v>
      </c>
    </row>
    <row r="765" spans="1:4">
      <c r="A765" t="s">
        <v>30</v>
      </c>
      <c r="B765" t="s">
        <v>15</v>
      </c>
      <c r="C765" t="s">
        <v>16</v>
      </c>
      <c r="D765">
        <v>1869.956522875</v>
      </c>
    </row>
    <row r="766" spans="1:4">
      <c r="A766" t="s">
        <v>30</v>
      </c>
      <c r="B766" t="s">
        <v>8</v>
      </c>
      <c r="C766" t="s">
        <v>15</v>
      </c>
      <c r="D766">
        <v>6.8046907000000004E-2</v>
      </c>
    </row>
    <row r="767" spans="1:4">
      <c r="A767" t="s">
        <v>33</v>
      </c>
      <c r="B767" t="s">
        <v>678</v>
      </c>
      <c r="C767" t="s">
        <v>678</v>
      </c>
      <c r="D767">
        <v>121.0168</v>
      </c>
    </row>
    <row r="768" spans="1:4">
      <c r="A768" t="s">
        <v>33</v>
      </c>
      <c r="B768" t="s">
        <v>10</v>
      </c>
      <c r="C768" t="s">
        <v>678</v>
      </c>
      <c r="D768">
        <v>764.34810000000004</v>
      </c>
    </row>
    <row r="769" spans="1:4">
      <c r="A769" t="s">
        <v>33</v>
      </c>
      <c r="B769" t="s">
        <v>678</v>
      </c>
      <c r="C769" t="s">
        <v>10</v>
      </c>
      <c r="D769">
        <v>635.04769999999996</v>
      </c>
    </row>
    <row r="770" spans="1:4">
      <c r="A770" t="s">
        <v>33</v>
      </c>
      <c r="B770" t="s">
        <v>10</v>
      </c>
      <c r="C770" t="s">
        <v>10</v>
      </c>
      <c r="D770">
        <v>5642.3620000000001</v>
      </c>
    </row>
    <row r="771" spans="1:4">
      <c r="A771" t="s">
        <v>33</v>
      </c>
      <c r="B771" t="s">
        <v>11</v>
      </c>
      <c r="C771" t="s">
        <v>678</v>
      </c>
      <c r="D771">
        <v>46.189354410999997</v>
      </c>
    </row>
    <row r="772" spans="1:4">
      <c r="A772" t="s">
        <v>33</v>
      </c>
      <c r="B772" t="s">
        <v>11</v>
      </c>
      <c r="C772" t="s">
        <v>10</v>
      </c>
      <c r="D772">
        <v>310.04437768999998</v>
      </c>
    </row>
    <row r="773" spans="1:4">
      <c r="A773" t="s">
        <v>33</v>
      </c>
      <c r="B773" t="s">
        <v>678</v>
      </c>
      <c r="C773" t="s">
        <v>6</v>
      </c>
      <c r="D773">
        <v>3378.9774000000002</v>
      </c>
    </row>
    <row r="774" spans="1:4">
      <c r="A774" t="s">
        <v>33</v>
      </c>
      <c r="B774" t="s">
        <v>10</v>
      </c>
      <c r="C774" t="s">
        <v>6</v>
      </c>
      <c r="D774">
        <v>6651.4215000000004</v>
      </c>
    </row>
    <row r="775" spans="1:4">
      <c r="A775" t="s">
        <v>33</v>
      </c>
      <c r="B775" t="s">
        <v>11</v>
      </c>
      <c r="C775" t="s">
        <v>6</v>
      </c>
      <c r="D775">
        <v>882.12681244600003</v>
      </c>
    </row>
    <row r="776" spans="1:4">
      <c r="A776" t="s">
        <v>33</v>
      </c>
      <c r="B776" t="s">
        <v>678</v>
      </c>
      <c r="C776" t="s">
        <v>8</v>
      </c>
      <c r="D776">
        <v>10.657166999999999</v>
      </c>
    </row>
    <row r="777" spans="1:4">
      <c r="A777" t="s">
        <v>33</v>
      </c>
      <c r="B777" t="s">
        <v>10</v>
      </c>
      <c r="C777" t="s">
        <v>8</v>
      </c>
      <c r="D777">
        <v>1551.8989320000001</v>
      </c>
    </row>
    <row r="778" spans="1:4">
      <c r="A778" t="s">
        <v>33</v>
      </c>
      <c r="B778" t="s">
        <v>11</v>
      </c>
      <c r="C778" t="s">
        <v>8</v>
      </c>
      <c r="D778">
        <v>0.133196235</v>
      </c>
    </row>
    <row r="779" spans="1:4">
      <c r="A779" t="s">
        <v>33</v>
      </c>
      <c r="B779" t="s">
        <v>678</v>
      </c>
      <c r="C779" t="s">
        <v>15</v>
      </c>
      <c r="D779">
        <v>158.89496004</v>
      </c>
    </row>
    <row r="780" spans="1:4">
      <c r="A780" t="s">
        <v>33</v>
      </c>
      <c r="B780" t="s">
        <v>10</v>
      </c>
      <c r="C780" t="s">
        <v>15</v>
      </c>
      <c r="D780">
        <v>3324.3890000000001</v>
      </c>
    </row>
    <row r="781" spans="1:4">
      <c r="A781" t="s">
        <v>33</v>
      </c>
      <c r="B781" t="s">
        <v>11</v>
      </c>
      <c r="C781" t="s">
        <v>15</v>
      </c>
      <c r="D781">
        <v>192.56886857200001</v>
      </c>
    </row>
    <row r="782" spans="1:4">
      <c r="A782" t="s">
        <v>33</v>
      </c>
      <c r="B782" t="s">
        <v>8</v>
      </c>
      <c r="C782" t="s">
        <v>11</v>
      </c>
      <c r="D782">
        <v>1431.0626093549999</v>
      </c>
    </row>
    <row r="783" spans="1:4">
      <c r="A783" t="s">
        <v>33</v>
      </c>
      <c r="B783" t="s">
        <v>678</v>
      </c>
      <c r="C783" t="s">
        <v>7</v>
      </c>
      <c r="D783">
        <v>0</v>
      </c>
    </row>
    <row r="784" spans="1:4">
      <c r="A784" t="s">
        <v>33</v>
      </c>
      <c r="B784" t="s">
        <v>10</v>
      </c>
      <c r="C784" t="s">
        <v>7</v>
      </c>
      <c r="D784">
        <v>-56.419885860000001</v>
      </c>
    </row>
    <row r="785" spans="1:4">
      <c r="A785" t="s">
        <v>33</v>
      </c>
      <c r="B785" t="s">
        <v>7</v>
      </c>
      <c r="C785" t="s">
        <v>8</v>
      </c>
      <c r="D785">
        <v>-56.419885860000001</v>
      </c>
    </row>
    <row r="786" spans="1:4">
      <c r="A786" t="s">
        <v>33</v>
      </c>
      <c r="B786" t="s">
        <v>678</v>
      </c>
      <c r="C786" t="s">
        <v>16</v>
      </c>
      <c r="D786">
        <v>329.99693955599997</v>
      </c>
    </row>
    <row r="787" spans="1:4">
      <c r="A787" t="s">
        <v>33</v>
      </c>
      <c r="B787" t="s">
        <v>10</v>
      </c>
      <c r="C787" t="s">
        <v>16</v>
      </c>
      <c r="D787">
        <v>4320.508366088</v>
      </c>
    </row>
    <row r="788" spans="1:4">
      <c r="A788" t="s">
        <v>33</v>
      </c>
      <c r="B788" t="s">
        <v>678</v>
      </c>
      <c r="C788" t="s">
        <v>17</v>
      </c>
      <c r="D788">
        <v>0</v>
      </c>
    </row>
    <row r="789" spans="1:4">
      <c r="A789" t="s">
        <v>33</v>
      </c>
      <c r="B789" t="s">
        <v>10</v>
      </c>
      <c r="C789" t="s">
        <v>17</v>
      </c>
      <c r="D789">
        <v>51.546169999999996</v>
      </c>
    </row>
    <row r="790" spans="1:4">
      <c r="A790" t="s">
        <v>33</v>
      </c>
      <c r="B790" t="s">
        <v>17</v>
      </c>
      <c r="C790" t="s">
        <v>16</v>
      </c>
      <c r="D790">
        <v>51.546169999999996</v>
      </c>
    </row>
    <row r="791" spans="1:4">
      <c r="A791" t="s">
        <v>33</v>
      </c>
      <c r="B791" t="s">
        <v>14</v>
      </c>
      <c r="C791" t="s">
        <v>678</v>
      </c>
      <c r="D791">
        <v>1270.5329999999999</v>
      </c>
    </row>
    <row r="792" spans="1:4">
      <c r="A792" t="s">
        <v>33</v>
      </c>
      <c r="B792" t="s">
        <v>14</v>
      </c>
      <c r="C792" t="s">
        <v>10</v>
      </c>
      <c r="D792">
        <v>5076.3729999999996</v>
      </c>
    </row>
    <row r="793" spans="1:4">
      <c r="A793" t="s">
        <v>33</v>
      </c>
      <c r="B793" t="s">
        <v>6</v>
      </c>
      <c r="C793" t="s">
        <v>14</v>
      </c>
      <c r="D793">
        <v>6346.9059999999999</v>
      </c>
    </row>
    <row r="794" spans="1:4">
      <c r="A794" t="s">
        <v>33</v>
      </c>
      <c r="B794" t="s">
        <v>8</v>
      </c>
      <c r="C794" t="s">
        <v>14</v>
      </c>
      <c r="D794">
        <v>0</v>
      </c>
    </row>
    <row r="795" spans="1:4">
      <c r="A795" t="s">
        <v>33</v>
      </c>
      <c r="B795" t="s">
        <v>9</v>
      </c>
      <c r="C795" t="s">
        <v>678</v>
      </c>
      <c r="D795">
        <v>1451.7246</v>
      </c>
    </row>
    <row r="796" spans="1:4">
      <c r="A796" t="s">
        <v>33</v>
      </c>
      <c r="B796" t="s">
        <v>9</v>
      </c>
      <c r="C796" t="s">
        <v>10</v>
      </c>
      <c r="D796">
        <v>11.8308</v>
      </c>
    </row>
    <row r="797" spans="1:4">
      <c r="A797" t="s">
        <v>33</v>
      </c>
      <c r="B797" t="s">
        <v>6</v>
      </c>
      <c r="C797" t="s">
        <v>9</v>
      </c>
      <c r="D797">
        <v>1463.5554</v>
      </c>
    </row>
    <row r="798" spans="1:4">
      <c r="A798" t="s">
        <v>33</v>
      </c>
      <c r="B798" t="s">
        <v>13</v>
      </c>
      <c r="C798" t="s">
        <v>678</v>
      </c>
      <c r="D798">
        <v>747.01729999999998</v>
      </c>
    </row>
    <row r="799" spans="1:4">
      <c r="A799" t="s">
        <v>33</v>
      </c>
      <c r="B799" t="s">
        <v>13</v>
      </c>
      <c r="C799" t="s">
        <v>10</v>
      </c>
      <c r="D799">
        <v>4625.5929999999998</v>
      </c>
    </row>
    <row r="800" spans="1:4">
      <c r="A800" t="s">
        <v>33</v>
      </c>
      <c r="B800" t="s">
        <v>6</v>
      </c>
      <c r="C800" t="s">
        <v>13</v>
      </c>
      <c r="D800">
        <v>5372.6103000000003</v>
      </c>
    </row>
    <row r="801" spans="1:5">
      <c r="A801" t="s">
        <v>33</v>
      </c>
      <c r="B801" t="s">
        <v>8</v>
      </c>
      <c r="C801" t="s">
        <v>678</v>
      </c>
      <c r="D801">
        <v>-18.827004853999998</v>
      </c>
    </row>
    <row r="802" spans="1:5">
      <c r="A802" t="s">
        <v>33</v>
      </c>
      <c r="B802" t="s">
        <v>8</v>
      </c>
      <c r="C802" t="s">
        <v>10</v>
      </c>
      <c r="D802">
        <v>-142.224727462</v>
      </c>
    </row>
    <row r="803" spans="1:5">
      <c r="A803" t="s">
        <v>33</v>
      </c>
      <c r="B803" t="s">
        <v>12</v>
      </c>
      <c r="C803" t="s">
        <v>678</v>
      </c>
      <c r="D803">
        <v>36.891700366000002</v>
      </c>
    </row>
    <row r="804" spans="1:5">
      <c r="A804" t="s">
        <v>33</v>
      </c>
      <c r="B804" t="s">
        <v>12</v>
      </c>
      <c r="C804" t="s">
        <v>10</v>
      </c>
      <c r="D804">
        <v>884.49584867800002</v>
      </c>
    </row>
    <row r="805" spans="1:5">
      <c r="A805" t="s">
        <v>33</v>
      </c>
      <c r="B805" t="s">
        <v>8</v>
      </c>
      <c r="C805" t="s">
        <v>12</v>
      </c>
      <c r="D805">
        <v>921.38754904400002</v>
      </c>
    </row>
    <row r="806" spans="1:5">
      <c r="A806" t="s">
        <v>33</v>
      </c>
      <c r="B806" t="s">
        <v>16</v>
      </c>
      <c r="C806" t="s">
        <v>678</v>
      </c>
      <c r="D806">
        <v>215.697250145</v>
      </c>
    </row>
    <row r="807" spans="1:5">
      <c r="A807" t="s">
        <v>33</v>
      </c>
      <c r="B807" t="s">
        <v>16</v>
      </c>
      <c r="C807" t="s">
        <v>10</v>
      </c>
      <c r="D807">
        <v>5206.5327098480002</v>
      </c>
    </row>
    <row r="808" spans="1:5">
      <c r="A808" t="s">
        <v>33</v>
      </c>
      <c r="B808" t="s">
        <v>790</v>
      </c>
      <c r="C808" t="s">
        <v>678</v>
      </c>
      <c r="D808">
        <v>0</v>
      </c>
    </row>
    <row r="809" spans="1:5">
      <c r="A809" t="s">
        <v>33</v>
      </c>
      <c r="B809" t="s">
        <v>790</v>
      </c>
      <c r="C809" t="s">
        <v>10</v>
      </c>
      <c r="D809">
        <v>0</v>
      </c>
    </row>
    <row r="810" spans="1:5">
      <c r="A810" t="s">
        <v>33</v>
      </c>
      <c r="B810" t="s">
        <v>8</v>
      </c>
      <c r="C810" t="s">
        <v>790</v>
      </c>
      <c r="D810">
        <v>0</v>
      </c>
    </row>
    <row r="811" spans="1:5">
      <c r="A811" t="s">
        <v>33</v>
      </c>
      <c r="B811" t="s">
        <v>8</v>
      </c>
      <c r="C811" t="s">
        <v>6</v>
      </c>
      <c r="D811">
        <v>-685.12901244600005</v>
      </c>
      <c r="E811" s="1"/>
    </row>
    <row r="812" spans="1:5">
      <c r="A812" t="s">
        <v>33</v>
      </c>
      <c r="B812" t="s">
        <v>15</v>
      </c>
      <c r="C812" t="s">
        <v>6</v>
      </c>
      <c r="D812">
        <v>1277.425</v>
      </c>
    </row>
    <row r="813" spans="1:5">
      <c r="A813" t="s">
        <v>33</v>
      </c>
      <c r="B813" t="s">
        <v>5</v>
      </c>
      <c r="C813" t="s">
        <v>6</v>
      </c>
      <c r="D813">
        <v>1678.25</v>
      </c>
    </row>
    <row r="814" spans="1:5">
      <c r="A814" t="s">
        <v>33</v>
      </c>
      <c r="B814" t="s">
        <v>15</v>
      </c>
      <c r="C814" t="s">
        <v>5</v>
      </c>
      <c r="D814">
        <v>1678.25</v>
      </c>
    </row>
    <row r="815" spans="1:5">
      <c r="A815" t="s">
        <v>33</v>
      </c>
      <c r="B815" t="s">
        <v>6</v>
      </c>
      <c r="C815" t="s">
        <v>8</v>
      </c>
      <c r="D815">
        <v>0</v>
      </c>
    </row>
    <row r="816" spans="1:5">
      <c r="A816" t="s">
        <v>33</v>
      </c>
      <c r="B816" t="s">
        <v>15</v>
      </c>
      <c r="C816" t="s">
        <v>16</v>
      </c>
      <c r="D816">
        <v>720.17848434799998</v>
      </c>
    </row>
    <row r="817" spans="1:5">
      <c r="A817" t="s">
        <v>33</v>
      </c>
      <c r="B817" t="s">
        <v>15</v>
      </c>
      <c r="C817" t="s">
        <v>8</v>
      </c>
      <c r="D817">
        <v>4.2610000000000004E-6</v>
      </c>
    </row>
    <row r="818" spans="1:5">
      <c r="A818" t="s">
        <v>791</v>
      </c>
      <c r="B818" t="s">
        <v>678</v>
      </c>
      <c r="C818" t="s">
        <v>678</v>
      </c>
      <c r="D818">
        <v>5573.8996999999999</v>
      </c>
    </row>
    <row r="819" spans="1:5">
      <c r="A819" t="s">
        <v>791</v>
      </c>
      <c r="B819" t="s">
        <v>10</v>
      </c>
      <c r="C819" t="s">
        <v>678</v>
      </c>
      <c r="D819">
        <v>5466.7753000000002</v>
      </c>
    </row>
    <row r="820" spans="1:5">
      <c r="A820" t="s">
        <v>791</v>
      </c>
      <c r="B820" t="s">
        <v>678</v>
      </c>
      <c r="C820" t="s">
        <v>10</v>
      </c>
      <c r="D820">
        <v>7107.5729000000001</v>
      </c>
    </row>
    <row r="821" spans="1:5">
      <c r="A821" t="s">
        <v>791</v>
      </c>
      <c r="B821" t="s">
        <v>10</v>
      </c>
      <c r="C821" t="s">
        <v>10</v>
      </c>
      <c r="D821">
        <v>39655.675999999999</v>
      </c>
      <c r="E821" s="1"/>
    </row>
    <row r="822" spans="1:5">
      <c r="A822" t="s">
        <v>791</v>
      </c>
      <c r="B822" t="s">
        <v>11</v>
      </c>
      <c r="C822" t="s">
        <v>678</v>
      </c>
      <c r="D822">
        <v>48.771571430000002</v>
      </c>
    </row>
    <row r="823" spans="1:5">
      <c r="A823" t="s">
        <v>791</v>
      </c>
      <c r="B823" t="s">
        <v>11</v>
      </c>
      <c r="C823" t="s">
        <v>10</v>
      </c>
      <c r="D823">
        <v>228.33958729099999</v>
      </c>
    </row>
    <row r="824" spans="1:5">
      <c r="A824" t="s">
        <v>791</v>
      </c>
      <c r="B824" t="s">
        <v>678</v>
      </c>
      <c r="C824" t="s">
        <v>6</v>
      </c>
      <c r="D824">
        <v>16926.686799999999</v>
      </c>
    </row>
    <row r="825" spans="1:5">
      <c r="A825" t="s">
        <v>791</v>
      </c>
      <c r="B825" t="s">
        <v>10</v>
      </c>
      <c r="C825" t="s">
        <v>6</v>
      </c>
      <c r="D825">
        <v>34187.373</v>
      </c>
      <c r="E825" s="1"/>
    </row>
    <row r="826" spans="1:5">
      <c r="A826" t="s">
        <v>791</v>
      </c>
      <c r="B826" t="s">
        <v>11</v>
      </c>
      <c r="C826" t="s">
        <v>6</v>
      </c>
      <c r="D826">
        <v>1983.78874</v>
      </c>
    </row>
    <row r="827" spans="1:5">
      <c r="A827" t="s">
        <v>791</v>
      </c>
      <c r="B827" t="s">
        <v>678</v>
      </c>
      <c r="C827" t="s">
        <v>8</v>
      </c>
      <c r="D827">
        <v>19.828124800000001</v>
      </c>
    </row>
    <row r="828" spans="1:5">
      <c r="A828" t="s">
        <v>791</v>
      </c>
      <c r="B828" t="s">
        <v>10</v>
      </c>
      <c r="C828" t="s">
        <v>8</v>
      </c>
      <c r="D828">
        <v>8035.74</v>
      </c>
      <c r="E828" s="1"/>
    </row>
    <row r="829" spans="1:5">
      <c r="A829" t="s">
        <v>791</v>
      </c>
      <c r="B829" t="s">
        <v>11</v>
      </c>
      <c r="C829" t="s">
        <v>8</v>
      </c>
      <c r="D829">
        <v>281.72793680000001</v>
      </c>
    </row>
    <row r="830" spans="1:5">
      <c r="A830" t="s">
        <v>791</v>
      </c>
      <c r="B830" t="s">
        <v>678</v>
      </c>
      <c r="C830" t="s">
        <v>15</v>
      </c>
      <c r="D830">
        <v>332.32372199999998</v>
      </c>
    </row>
    <row r="831" spans="1:5">
      <c r="A831" t="s">
        <v>791</v>
      </c>
      <c r="B831" t="s">
        <v>10</v>
      </c>
      <c r="C831" t="s">
        <v>15</v>
      </c>
      <c r="D831">
        <v>10829.514999999999</v>
      </c>
    </row>
    <row r="832" spans="1:5">
      <c r="A832" t="s">
        <v>791</v>
      </c>
      <c r="B832" t="s">
        <v>11</v>
      </c>
      <c r="C832" t="s">
        <v>15</v>
      </c>
      <c r="D832">
        <v>844.94127519999995</v>
      </c>
    </row>
    <row r="833" spans="1:5">
      <c r="A833" t="s">
        <v>791</v>
      </c>
      <c r="B833" t="s">
        <v>8</v>
      </c>
      <c r="C833" t="s">
        <v>11</v>
      </c>
      <c r="D833">
        <v>3387.569110721</v>
      </c>
    </row>
    <row r="834" spans="1:5">
      <c r="A834" t="s">
        <v>791</v>
      </c>
      <c r="B834" t="s">
        <v>678</v>
      </c>
      <c r="C834" t="s">
        <v>7</v>
      </c>
      <c r="D834">
        <v>0</v>
      </c>
    </row>
    <row r="835" spans="1:5">
      <c r="A835" t="s">
        <v>791</v>
      </c>
      <c r="B835" t="s">
        <v>10</v>
      </c>
      <c r="C835" t="s">
        <v>7</v>
      </c>
      <c r="D835">
        <v>-116.13676359</v>
      </c>
    </row>
    <row r="836" spans="1:5">
      <c r="A836" t="s">
        <v>791</v>
      </c>
      <c r="B836" t="s">
        <v>7</v>
      </c>
      <c r="C836" t="s">
        <v>8</v>
      </c>
      <c r="D836">
        <v>-116.13676359</v>
      </c>
    </row>
    <row r="837" spans="1:5">
      <c r="A837" t="s">
        <v>791</v>
      </c>
      <c r="B837" t="s">
        <v>678</v>
      </c>
      <c r="C837" t="s">
        <v>16</v>
      </c>
      <c r="D837">
        <v>342.006777962</v>
      </c>
    </row>
    <row r="838" spans="1:5">
      <c r="A838" t="s">
        <v>791</v>
      </c>
      <c r="B838" t="s">
        <v>10</v>
      </c>
      <c r="C838" t="s">
        <v>16</v>
      </c>
      <c r="D838">
        <v>10104.936311900001</v>
      </c>
      <c r="E838" s="1"/>
    </row>
    <row r="839" spans="1:5">
      <c r="A839" t="s">
        <v>791</v>
      </c>
      <c r="B839" t="s">
        <v>678</v>
      </c>
      <c r="C839" t="s">
        <v>17</v>
      </c>
      <c r="D839">
        <v>0</v>
      </c>
    </row>
    <row r="840" spans="1:5">
      <c r="A840" t="s">
        <v>791</v>
      </c>
      <c r="B840" t="s">
        <v>10</v>
      </c>
      <c r="C840" t="s">
        <v>17</v>
      </c>
      <c r="D840">
        <v>118.5466</v>
      </c>
    </row>
    <row r="841" spans="1:5">
      <c r="A841" t="s">
        <v>791</v>
      </c>
      <c r="B841" t="s">
        <v>17</v>
      </c>
      <c r="C841" t="s">
        <v>16</v>
      </c>
      <c r="D841">
        <v>118.5466</v>
      </c>
    </row>
    <row r="842" spans="1:5">
      <c r="A842" t="s">
        <v>791</v>
      </c>
      <c r="B842" t="s">
        <v>14</v>
      </c>
      <c r="C842" t="s">
        <v>678</v>
      </c>
      <c r="D842">
        <v>6465.3270000000002</v>
      </c>
    </row>
    <row r="843" spans="1:5">
      <c r="A843" t="s">
        <v>791</v>
      </c>
      <c r="B843" t="s">
        <v>14</v>
      </c>
      <c r="C843" t="s">
        <v>10</v>
      </c>
      <c r="D843">
        <v>24891.25</v>
      </c>
      <c r="E843" s="1"/>
    </row>
    <row r="844" spans="1:5">
      <c r="A844" t="s">
        <v>791</v>
      </c>
      <c r="B844" t="s">
        <v>6</v>
      </c>
      <c r="C844" t="s">
        <v>14</v>
      </c>
      <c r="D844">
        <v>31356.577000000001</v>
      </c>
      <c r="E844" s="1"/>
    </row>
    <row r="845" spans="1:5">
      <c r="A845" t="s">
        <v>791</v>
      </c>
      <c r="B845" t="s">
        <v>8</v>
      </c>
      <c r="C845" t="s">
        <v>14</v>
      </c>
      <c r="D845">
        <v>0</v>
      </c>
    </row>
    <row r="846" spans="1:5">
      <c r="A846" t="s">
        <v>791</v>
      </c>
      <c r="B846" t="s">
        <v>9</v>
      </c>
      <c r="C846" t="s">
        <v>678</v>
      </c>
      <c r="D846">
        <v>7555.6297000000004</v>
      </c>
    </row>
    <row r="847" spans="1:5">
      <c r="A847" t="s">
        <v>791</v>
      </c>
      <c r="B847" t="s">
        <v>9</v>
      </c>
      <c r="C847" t="s">
        <v>10</v>
      </c>
      <c r="D847">
        <v>252.7389</v>
      </c>
    </row>
    <row r="848" spans="1:5">
      <c r="A848" t="s">
        <v>791</v>
      </c>
      <c r="B848" t="s">
        <v>6</v>
      </c>
      <c r="C848" t="s">
        <v>9</v>
      </c>
      <c r="D848">
        <v>7808.3685999999998</v>
      </c>
    </row>
    <row r="849" spans="1:5">
      <c r="A849" t="s">
        <v>791</v>
      </c>
      <c r="B849" t="s">
        <v>13</v>
      </c>
      <c r="C849" t="s">
        <v>678</v>
      </c>
      <c r="D849">
        <v>4201.7740000000003</v>
      </c>
    </row>
    <row r="850" spans="1:5">
      <c r="A850" t="s">
        <v>791</v>
      </c>
      <c r="B850" t="s">
        <v>13</v>
      </c>
      <c r="C850" t="s">
        <v>10</v>
      </c>
      <c r="D850">
        <v>17996.650000000001</v>
      </c>
      <c r="E850" s="1"/>
    </row>
    <row r="851" spans="1:5">
      <c r="A851" t="s">
        <v>791</v>
      </c>
      <c r="B851" t="s">
        <v>6</v>
      </c>
      <c r="C851" t="s">
        <v>13</v>
      </c>
      <c r="D851">
        <v>22198.423999999999</v>
      </c>
      <c r="E851" s="1"/>
    </row>
    <row r="852" spans="1:5">
      <c r="A852" t="s">
        <v>791</v>
      </c>
      <c r="B852" t="s">
        <v>8</v>
      </c>
      <c r="C852" t="s">
        <v>678</v>
      </c>
      <c r="D852">
        <v>-480.19815346799999</v>
      </c>
    </row>
    <row r="853" spans="1:5">
      <c r="A853" t="s">
        <v>791</v>
      </c>
      <c r="B853" t="s">
        <v>8</v>
      </c>
      <c r="C853" t="s">
        <v>10</v>
      </c>
      <c r="D853">
        <v>3847.6127610190001</v>
      </c>
      <c r="E853" s="1"/>
    </row>
    <row r="854" spans="1:5">
      <c r="A854" t="s">
        <v>791</v>
      </c>
      <c r="B854" t="s">
        <v>12</v>
      </c>
      <c r="C854" t="s">
        <v>678</v>
      </c>
      <c r="D854">
        <v>100.265315433</v>
      </c>
    </row>
    <row r="855" spans="1:5">
      <c r="A855" t="s">
        <v>791</v>
      </c>
      <c r="B855" t="s">
        <v>12</v>
      </c>
      <c r="C855" t="s">
        <v>10</v>
      </c>
      <c r="D855">
        <v>628.09338996899999</v>
      </c>
    </row>
    <row r="856" spans="1:5">
      <c r="A856" t="s">
        <v>791</v>
      </c>
      <c r="B856" t="s">
        <v>8</v>
      </c>
      <c r="C856" t="s">
        <v>12</v>
      </c>
      <c r="D856">
        <v>728.35870540200006</v>
      </c>
    </row>
    <row r="857" spans="1:5">
      <c r="A857" t="s">
        <v>791</v>
      </c>
      <c r="B857" t="s">
        <v>16</v>
      </c>
      <c r="C857" t="s">
        <v>678</v>
      </c>
      <c r="D857">
        <v>1370.073655181</v>
      </c>
    </row>
    <row r="858" spans="1:5">
      <c r="A858" t="s">
        <v>791</v>
      </c>
      <c r="B858" t="s">
        <v>16</v>
      </c>
      <c r="C858" t="s">
        <v>10</v>
      </c>
      <c r="D858">
        <v>13674.490987781001</v>
      </c>
      <c r="E858" s="1"/>
    </row>
    <row r="859" spans="1:5">
      <c r="A859" t="s">
        <v>791</v>
      </c>
      <c r="B859" t="s">
        <v>790</v>
      </c>
      <c r="C859" t="s">
        <v>678</v>
      </c>
      <c r="D859">
        <v>0</v>
      </c>
    </row>
    <row r="860" spans="1:5">
      <c r="A860" t="s">
        <v>791</v>
      </c>
      <c r="B860" t="s">
        <v>790</v>
      </c>
      <c r="C860" t="s">
        <v>10</v>
      </c>
      <c r="D860">
        <v>0</v>
      </c>
    </row>
    <row r="861" spans="1:5">
      <c r="A861" t="s">
        <v>791</v>
      </c>
      <c r="B861" t="s">
        <v>8</v>
      </c>
      <c r="C861" t="s">
        <v>790</v>
      </c>
      <c r="D861">
        <v>0</v>
      </c>
    </row>
    <row r="862" spans="1:5">
      <c r="A862" t="s">
        <v>791</v>
      </c>
      <c r="B862" t="s">
        <v>8</v>
      </c>
      <c r="C862" t="s">
        <v>6</v>
      </c>
      <c r="D862">
        <v>737.80805999999995</v>
      </c>
    </row>
    <row r="863" spans="1:5">
      <c r="A863" t="s">
        <v>791</v>
      </c>
      <c r="B863" t="s">
        <v>15</v>
      </c>
      <c r="C863" t="s">
        <v>6</v>
      </c>
      <c r="D863">
        <v>1665.5740000000001</v>
      </c>
    </row>
    <row r="864" spans="1:5">
      <c r="A864" t="s">
        <v>791</v>
      </c>
      <c r="B864" t="s">
        <v>5</v>
      </c>
      <c r="C864" t="s">
        <v>6</v>
      </c>
      <c r="D864">
        <v>5862.1390000000001</v>
      </c>
    </row>
    <row r="865" spans="1:5">
      <c r="A865" t="s">
        <v>791</v>
      </c>
      <c r="B865" t="s">
        <v>15</v>
      </c>
      <c r="C865" t="s">
        <v>5</v>
      </c>
      <c r="D865">
        <v>5862.1390000000001</v>
      </c>
    </row>
    <row r="866" spans="1:5">
      <c r="A866" t="s">
        <v>791</v>
      </c>
      <c r="B866" t="s">
        <v>6</v>
      </c>
      <c r="C866" t="s">
        <v>8</v>
      </c>
      <c r="D866">
        <v>0</v>
      </c>
    </row>
    <row r="867" spans="1:5">
      <c r="A867" t="s">
        <v>791</v>
      </c>
      <c r="B867" t="s">
        <v>15</v>
      </c>
      <c r="C867" t="s">
        <v>16</v>
      </c>
      <c r="D867">
        <v>4479.0749531000001</v>
      </c>
    </row>
    <row r="868" spans="1:5">
      <c r="A868" t="s">
        <v>791</v>
      </c>
      <c r="B868" t="s">
        <v>8</v>
      </c>
      <c r="C868" t="s">
        <v>15</v>
      </c>
      <c r="D868">
        <v>8.8143360000000007E-3</v>
      </c>
      <c r="E868" s="1"/>
    </row>
    <row r="869" spans="1:5">
      <c r="A869" t="s">
        <v>20</v>
      </c>
      <c r="B869" t="s">
        <v>678</v>
      </c>
      <c r="C869" t="s">
        <v>678</v>
      </c>
      <c r="D869">
        <v>7924.1112999999996</v>
      </c>
    </row>
    <row r="870" spans="1:5">
      <c r="A870" t="s">
        <v>20</v>
      </c>
      <c r="B870" t="s">
        <v>10</v>
      </c>
      <c r="C870" t="s">
        <v>678</v>
      </c>
      <c r="D870">
        <v>18735.661</v>
      </c>
      <c r="E870" s="1"/>
    </row>
    <row r="871" spans="1:5">
      <c r="A871" t="s">
        <v>20</v>
      </c>
      <c r="B871" t="s">
        <v>678</v>
      </c>
      <c r="C871" t="s">
        <v>10</v>
      </c>
      <c r="D871">
        <v>23187.561000000002</v>
      </c>
      <c r="E871" s="1"/>
    </row>
    <row r="872" spans="1:5">
      <c r="A872" t="s">
        <v>20</v>
      </c>
      <c r="B872" t="s">
        <v>10</v>
      </c>
      <c r="C872" t="s">
        <v>10</v>
      </c>
      <c r="D872">
        <v>464809.1</v>
      </c>
      <c r="E872" s="1"/>
    </row>
    <row r="873" spans="1:5">
      <c r="A873" t="s">
        <v>20</v>
      </c>
      <c r="B873" t="s">
        <v>11</v>
      </c>
      <c r="C873" t="s">
        <v>678</v>
      </c>
      <c r="D873">
        <v>-2105.1060600000001</v>
      </c>
    </row>
    <row r="874" spans="1:5">
      <c r="A874" t="s">
        <v>20</v>
      </c>
      <c r="B874" t="s">
        <v>11</v>
      </c>
      <c r="C874" t="s">
        <v>10</v>
      </c>
      <c r="D874">
        <v>12694.63171</v>
      </c>
      <c r="E874" s="1"/>
    </row>
    <row r="875" spans="1:5">
      <c r="A875" t="s">
        <v>20</v>
      </c>
      <c r="B875" t="s">
        <v>678</v>
      </c>
      <c r="C875" t="s">
        <v>6</v>
      </c>
      <c r="D875">
        <v>4930.018</v>
      </c>
    </row>
    <row r="876" spans="1:5">
      <c r="A876" t="s">
        <v>20</v>
      </c>
      <c r="B876" t="s">
        <v>10</v>
      </c>
      <c r="C876" t="s">
        <v>6</v>
      </c>
      <c r="D876">
        <v>330725.96999999997</v>
      </c>
      <c r="E876" s="1"/>
    </row>
    <row r="877" spans="1:5">
      <c r="A877" t="s">
        <v>20</v>
      </c>
      <c r="B877" t="s">
        <v>11</v>
      </c>
      <c r="C877" t="s">
        <v>6</v>
      </c>
      <c r="D877">
        <v>34750.240100000003</v>
      </c>
      <c r="E877" s="1"/>
    </row>
    <row r="878" spans="1:5">
      <c r="A878" t="s">
        <v>20</v>
      </c>
      <c r="B878" t="s">
        <v>678</v>
      </c>
      <c r="C878" t="s">
        <v>8</v>
      </c>
      <c r="D878">
        <v>1094.9039</v>
      </c>
    </row>
    <row r="879" spans="1:5">
      <c r="A879" t="s">
        <v>20</v>
      </c>
      <c r="B879" t="s">
        <v>10</v>
      </c>
      <c r="C879" t="s">
        <v>8</v>
      </c>
      <c r="D879">
        <v>122834.88</v>
      </c>
      <c r="E879" s="1"/>
    </row>
    <row r="880" spans="1:5">
      <c r="A880" t="s">
        <v>20</v>
      </c>
      <c r="B880" t="s">
        <v>11</v>
      </c>
      <c r="C880" t="s">
        <v>8</v>
      </c>
      <c r="D880">
        <v>516.59567930000003</v>
      </c>
    </row>
    <row r="881" spans="1:5">
      <c r="A881" t="s">
        <v>20</v>
      </c>
      <c r="B881" t="s">
        <v>678</v>
      </c>
      <c r="C881" t="s">
        <v>15</v>
      </c>
      <c r="D881">
        <v>3.3712499</v>
      </c>
    </row>
    <row r="882" spans="1:5">
      <c r="A882" t="s">
        <v>20</v>
      </c>
      <c r="B882" t="s">
        <v>10</v>
      </c>
      <c r="C882" t="s">
        <v>15</v>
      </c>
      <c r="D882">
        <v>114981.86</v>
      </c>
      <c r="E882" s="1"/>
    </row>
    <row r="883" spans="1:5">
      <c r="A883" t="s">
        <v>20</v>
      </c>
      <c r="B883" t="s">
        <v>11</v>
      </c>
      <c r="C883" t="s">
        <v>15</v>
      </c>
      <c r="D883">
        <v>3303.2276213199998</v>
      </c>
    </row>
    <row r="884" spans="1:5">
      <c r="A884" t="s">
        <v>20</v>
      </c>
      <c r="B884" t="s">
        <v>8</v>
      </c>
      <c r="C884" t="s">
        <v>11</v>
      </c>
      <c r="D884">
        <v>49159.589050620001</v>
      </c>
      <c r="E884" s="1"/>
    </row>
    <row r="885" spans="1:5">
      <c r="A885" t="s">
        <v>20</v>
      </c>
      <c r="B885" t="s">
        <v>678</v>
      </c>
      <c r="C885" t="s">
        <v>7</v>
      </c>
      <c r="D885">
        <v>38.099894704999997</v>
      </c>
    </row>
    <row r="886" spans="1:5">
      <c r="A886" t="s">
        <v>20</v>
      </c>
      <c r="B886" t="s">
        <v>10</v>
      </c>
      <c r="C886" t="s">
        <v>7</v>
      </c>
      <c r="D886">
        <v>458.58119469600001</v>
      </c>
      <c r="E886" s="1"/>
    </row>
    <row r="887" spans="1:5">
      <c r="A887" t="s">
        <v>20</v>
      </c>
      <c r="B887" t="s">
        <v>7</v>
      </c>
      <c r="C887" t="s">
        <v>8</v>
      </c>
      <c r="D887">
        <v>496.68108940100001</v>
      </c>
      <c r="E887" s="1"/>
    </row>
    <row r="888" spans="1:5">
      <c r="A888" t="s">
        <v>20</v>
      </c>
      <c r="B888" t="s">
        <v>678</v>
      </c>
      <c r="C888" t="s">
        <v>16</v>
      </c>
      <c r="D888">
        <v>10154.48059745</v>
      </c>
    </row>
    <row r="889" spans="1:5">
      <c r="A889" t="s">
        <v>20</v>
      </c>
      <c r="B889" t="s">
        <v>10</v>
      </c>
      <c r="C889" t="s">
        <v>16</v>
      </c>
      <c r="D889">
        <v>225079.74729</v>
      </c>
      <c r="E889" s="1"/>
    </row>
    <row r="890" spans="1:5">
      <c r="A890" t="s">
        <v>20</v>
      </c>
      <c r="B890" t="s">
        <v>678</v>
      </c>
      <c r="C890" t="s">
        <v>17</v>
      </c>
      <c r="D890">
        <v>0</v>
      </c>
    </row>
    <row r="891" spans="1:5">
      <c r="A891" t="s">
        <v>20</v>
      </c>
      <c r="B891" t="s">
        <v>10</v>
      </c>
      <c r="C891" t="s">
        <v>17</v>
      </c>
      <c r="D891">
        <v>3237.5880000000002</v>
      </c>
    </row>
    <row r="892" spans="1:5">
      <c r="A892" t="s">
        <v>20</v>
      </c>
      <c r="B892" t="s">
        <v>17</v>
      </c>
      <c r="C892" t="s">
        <v>16</v>
      </c>
      <c r="D892">
        <v>3237.5880000000002</v>
      </c>
    </row>
    <row r="893" spans="1:5">
      <c r="A893" t="s">
        <v>20</v>
      </c>
      <c r="B893" t="s">
        <v>14</v>
      </c>
      <c r="C893" t="s">
        <v>678</v>
      </c>
      <c r="D893">
        <v>8423.7360000000008</v>
      </c>
    </row>
    <row r="894" spans="1:5">
      <c r="A894" t="s">
        <v>20</v>
      </c>
      <c r="B894" t="s">
        <v>14</v>
      </c>
      <c r="C894" t="s">
        <v>10</v>
      </c>
      <c r="D894">
        <v>312781.40000000002</v>
      </c>
      <c r="E894" s="1"/>
    </row>
    <row r="895" spans="1:5">
      <c r="A895" t="s">
        <v>20</v>
      </c>
      <c r="B895" t="s">
        <v>6</v>
      </c>
      <c r="C895" t="s">
        <v>14</v>
      </c>
      <c r="D895">
        <v>321205.136</v>
      </c>
      <c r="E895" s="1"/>
    </row>
    <row r="896" spans="1:5">
      <c r="A896" t="s">
        <v>20</v>
      </c>
      <c r="B896" t="s">
        <v>8</v>
      </c>
      <c r="C896" t="s">
        <v>14</v>
      </c>
      <c r="D896">
        <v>0</v>
      </c>
    </row>
    <row r="897" spans="1:5">
      <c r="A897" t="s">
        <v>20</v>
      </c>
      <c r="B897" t="s">
        <v>9</v>
      </c>
      <c r="C897" t="s">
        <v>678</v>
      </c>
      <c r="D897">
        <v>3531.1790000000001</v>
      </c>
    </row>
    <row r="898" spans="1:5">
      <c r="A898" t="s">
        <v>20</v>
      </c>
      <c r="B898" t="s">
        <v>9</v>
      </c>
      <c r="C898" t="s">
        <v>10</v>
      </c>
      <c r="D898">
        <v>5316.393</v>
      </c>
    </row>
    <row r="899" spans="1:5">
      <c r="A899" t="s">
        <v>20</v>
      </c>
      <c r="B899" t="s">
        <v>6</v>
      </c>
      <c r="C899" t="s">
        <v>9</v>
      </c>
      <c r="D899">
        <v>8847.5720000000001</v>
      </c>
    </row>
    <row r="900" spans="1:5">
      <c r="A900" t="s">
        <v>20</v>
      </c>
      <c r="B900" t="s">
        <v>13</v>
      </c>
      <c r="C900" t="s">
        <v>678</v>
      </c>
      <c r="D900">
        <v>6977.4669999999996</v>
      </c>
    </row>
    <row r="901" spans="1:5">
      <c r="A901" t="s">
        <v>20</v>
      </c>
      <c r="B901" t="s">
        <v>13</v>
      </c>
      <c r="C901" t="s">
        <v>10</v>
      </c>
      <c r="D901">
        <v>213616.4</v>
      </c>
      <c r="E901" s="1"/>
    </row>
    <row r="902" spans="1:5">
      <c r="A902" t="s">
        <v>20</v>
      </c>
      <c r="B902" t="s">
        <v>6</v>
      </c>
      <c r="C902" t="s">
        <v>13</v>
      </c>
      <c r="D902">
        <v>220593.867</v>
      </c>
      <c r="E902" s="1"/>
    </row>
    <row r="903" spans="1:5">
      <c r="A903" t="s">
        <v>20</v>
      </c>
      <c r="B903" t="s">
        <v>8</v>
      </c>
      <c r="C903" t="s">
        <v>678</v>
      </c>
      <c r="D903">
        <v>-690.78232994500001</v>
      </c>
      <c r="E903" s="1"/>
    </row>
    <row r="904" spans="1:5">
      <c r="A904" t="s">
        <v>20</v>
      </c>
      <c r="B904" t="s">
        <v>8</v>
      </c>
      <c r="C904" t="s">
        <v>10</v>
      </c>
      <c r="D904">
        <v>36215.130774427002</v>
      </c>
      <c r="E904" s="1"/>
    </row>
    <row r="905" spans="1:5">
      <c r="A905" t="s">
        <v>20</v>
      </c>
      <c r="B905" t="s">
        <v>12</v>
      </c>
      <c r="C905" t="s">
        <v>678</v>
      </c>
      <c r="D905">
        <v>23.091042247000001</v>
      </c>
    </row>
    <row r="906" spans="1:5">
      <c r="A906" t="s">
        <v>20</v>
      </c>
      <c r="B906" t="s">
        <v>12</v>
      </c>
      <c r="C906" t="s">
        <v>10</v>
      </c>
      <c r="D906">
        <v>3471.4269901299999</v>
      </c>
    </row>
    <row r="907" spans="1:5">
      <c r="A907" t="s">
        <v>20</v>
      </c>
      <c r="B907" t="s">
        <v>8</v>
      </c>
      <c r="C907" t="s">
        <v>12</v>
      </c>
      <c r="D907">
        <v>3494.5180323770001</v>
      </c>
    </row>
    <row r="908" spans="1:5">
      <c r="A908" t="s">
        <v>20</v>
      </c>
      <c r="B908" t="s">
        <v>16</v>
      </c>
      <c r="C908" t="s">
        <v>678</v>
      </c>
      <c r="D908">
        <v>4513.1899983399999</v>
      </c>
    </row>
    <row r="909" spans="1:5">
      <c r="A909" t="s">
        <v>20</v>
      </c>
      <c r="B909" t="s">
        <v>16</v>
      </c>
      <c r="C909" t="s">
        <v>10</v>
      </c>
      <c r="D909">
        <v>208771.32019999999</v>
      </c>
      <c r="E909" s="1"/>
    </row>
    <row r="910" spans="1:5">
      <c r="A910" t="s">
        <v>20</v>
      </c>
      <c r="B910" t="s">
        <v>790</v>
      </c>
      <c r="C910" t="s">
        <v>678</v>
      </c>
      <c r="D910">
        <v>0</v>
      </c>
    </row>
    <row r="911" spans="1:5">
      <c r="A911" t="s">
        <v>20</v>
      </c>
      <c r="B911" t="s">
        <v>790</v>
      </c>
      <c r="C911" t="s">
        <v>10</v>
      </c>
      <c r="D911">
        <v>0</v>
      </c>
    </row>
    <row r="912" spans="1:5">
      <c r="A912" t="s">
        <v>20</v>
      </c>
      <c r="B912" t="s">
        <v>8</v>
      </c>
      <c r="C912" t="s">
        <v>790</v>
      </c>
      <c r="D912">
        <v>0</v>
      </c>
    </row>
    <row r="913" spans="1:5">
      <c r="A913" t="s">
        <v>20</v>
      </c>
      <c r="B913" t="s">
        <v>8</v>
      </c>
      <c r="C913" t="s">
        <v>6</v>
      </c>
      <c r="D913">
        <v>36764.696900000003</v>
      </c>
      <c r="E913" s="1"/>
    </row>
    <row r="914" spans="1:5">
      <c r="A914" t="s">
        <v>20</v>
      </c>
      <c r="B914" t="s">
        <v>15</v>
      </c>
      <c r="C914" t="s">
        <v>6</v>
      </c>
      <c r="D914">
        <v>80429.63</v>
      </c>
      <c r="E914" s="1"/>
    </row>
    <row r="915" spans="1:5">
      <c r="A915" t="s">
        <v>20</v>
      </c>
      <c r="B915" t="s">
        <v>5</v>
      </c>
      <c r="C915" t="s">
        <v>6</v>
      </c>
      <c r="D915">
        <v>63046.02</v>
      </c>
      <c r="E915" s="1"/>
    </row>
    <row r="916" spans="1:5">
      <c r="A916" t="s">
        <v>20</v>
      </c>
      <c r="B916" t="s">
        <v>15</v>
      </c>
      <c r="C916" t="s">
        <v>5</v>
      </c>
      <c r="D916">
        <v>63046.02</v>
      </c>
      <c r="E916" s="1"/>
    </row>
    <row r="917" spans="1:5">
      <c r="A917" t="s">
        <v>20</v>
      </c>
      <c r="B917" t="s">
        <v>6</v>
      </c>
      <c r="C917" t="s">
        <v>8</v>
      </c>
      <c r="D917">
        <v>0</v>
      </c>
    </row>
    <row r="918" spans="1:5">
      <c r="A918" t="s">
        <v>20</v>
      </c>
      <c r="B918" t="s">
        <v>16</v>
      </c>
      <c r="C918" t="s">
        <v>15</v>
      </c>
      <c r="D918">
        <v>25187.305693705999</v>
      </c>
      <c r="E918" s="1"/>
    </row>
    <row r="919" spans="1:5">
      <c r="A919" t="s">
        <v>20</v>
      </c>
      <c r="B919" t="s">
        <v>15</v>
      </c>
      <c r="C919" t="s">
        <v>8</v>
      </c>
      <c r="D919">
        <v>9.1758777999999999E-2</v>
      </c>
      <c r="E919" s="1"/>
    </row>
    <row r="920" spans="1:5">
      <c r="A920" t="s">
        <v>46</v>
      </c>
      <c r="B920" t="s">
        <v>678</v>
      </c>
      <c r="C920" t="s">
        <v>678</v>
      </c>
      <c r="D920">
        <v>78330.937000000005</v>
      </c>
    </row>
    <row r="921" spans="1:5">
      <c r="A921" t="s">
        <v>46</v>
      </c>
      <c r="B921" t="s">
        <v>10</v>
      </c>
      <c r="C921" t="s">
        <v>678</v>
      </c>
      <c r="D921">
        <v>128443.255</v>
      </c>
    </row>
    <row r="922" spans="1:5">
      <c r="A922" t="s">
        <v>46</v>
      </c>
      <c r="B922" t="s">
        <v>678</v>
      </c>
      <c r="C922" t="s">
        <v>10</v>
      </c>
      <c r="D922">
        <v>179667.79699999999</v>
      </c>
    </row>
    <row r="923" spans="1:5">
      <c r="A923" t="s">
        <v>46</v>
      </c>
      <c r="B923" t="s">
        <v>10</v>
      </c>
      <c r="C923" t="s">
        <v>10</v>
      </c>
      <c r="D923">
        <v>5725711.5</v>
      </c>
      <c r="E923" s="1"/>
    </row>
    <row r="924" spans="1:5">
      <c r="A924" t="s">
        <v>46</v>
      </c>
      <c r="B924" t="s">
        <v>11</v>
      </c>
      <c r="C924" t="s">
        <v>678</v>
      </c>
      <c r="D924">
        <v>8105.8535099999999</v>
      </c>
    </row>
    <row r="925" spans="1:5">
      <c r="A925" t="s">
        <v>46</v>
      </c>
      <c r="B925" t="s">
        <v>11</v>
      </c>
      <c r="C925" t="s">
        <v>10</v>
      </c>
      <c r="D925">
        <v>202387.6599</v>
      </c>
    </row>
    <row r="926" spans="1:5">
      <c r="A926" t="s">
        <v>46</v>
      </c>
      <c r="B926" t="s">
        <v>678</v>
      </c>
      <c r="C926" t="s">
        <v>6</v>
      </c>
      <c r="D926">
        <v>45030.87</v>
      </c>
    </row>
    <row r="927" spans="1:5">
      <c r="A927" t="s">
        <v>46</v>
      </c>
      <c r="B927" t="s">
        <v>10</v>
      </c>
      <c r="C927" t="s">
        <v>6</v>
      </c>
      <c r="D927">
        <v>5117508.8</v>
      </c>
      <c r="E927" s="1"/>
    </row>
    <row r="928" spans="1:5">
      <c r="A928" t="s">
        <v>46</v>
      </c>
      <c r="B928" t="s">
        <v>11</v>
      </c>
      <c r="C928" t="s">
        <v>6</v>
      </c>
      <c r="D928">
        <v>332565.89689999999</v>
      </c>
    </row>
    <row r="929" spans="1:4">
      <c r="A929" t="s">
        <v>46</v>
      </c>
      <c r="B929" t="s">
        <v>678</v>
      </c>
      <c r="C929" t="s">
        <v>8</v>
      </c>
      <c r="D929">
        <v>2321.8279000000002</v>
      </c>
    </row>
    <row r="930" spans="1:4">
      <c r="A930" t="s">
        <v>46</v>
      </c>
      <c r="B930" t="s">
        <v>10</v>
      </c>
      <c r="C930" t="s">
        <v>8</v>
      </c>
      <c r="D930">
        <v>1186356.28</v>
      </c>
    </row>
    <row r="931" spans="1:4">
      <c r="A931" t="s">
        <v>46</v>
      </c>
      <c r="B931" t="s">
        <v>11</v>
      </c>
      <c r="C931" t="s">
        <v>8</v>
      </c>
      <c r="D931">
        <v>13480.331501999999</v>
      </c>
    </row>
    <row r="932" spans="1:4">
      <c r="A932" t="s">
        <v>46</v>
      </c>
      <c r="B932" t="s">
        <v>678</v>
      </c>
      <c r="C932" t="s">
        <v>15</v>
      </c>
      <c r="D932">
        <v>4.8212438000000004</v>
      </c>
    </row>
    <row r="933" spans="1:4">
      <c r="A933" t="s">
        <v>46</v>
      </c>
      <c r="B933" t="s">
        <v>10</v>
      </c>
      <c r="C933" t="s">
        <v>15</v>
      </c>
      <c r="D933">
        <v>1371916.2</v>
      </c>
    </row>
    <row r="934" spans="1:4">
      <c r="A934" t="s">
        <v>46</v>
      </c>
      <c r="B934" t="s">
        <v>11</v>
      </c>
      <c r="C934" t="s">
        <v>15</v>
      </c>
      <c r="D934">
        <v>26447.341</v>
      </c>
    </row>
    <row r="935" spans="1:4">
      <c r="A935" t="s">
        <v>46</v>
      </c>
      <c r="B935" t="s">
        <v>8</v>
      </c>
      <c r="C935" t="s">
        <v>11</v>
      </c>
      <c r="D935">
        <v>582987.08281000005</v>
      </c>
    </row>
    <row r="936" spans="1:4">
      <c r="A936" t="s">
        <v>46</v>
      </c>
      <c r="B936" t="s">
        <v>678</v>
      </c>
      <c r="C936" t="s">
        <v>7</v>
      </c>
      <c r="D936">
        <v>6.6141825839999999</v>
      </c>
    </row>
    <row r="937" spans="1:4">
      <c r="A937" t="s">
        <v>46</v>
      </c>
      <c r="B937" t="s">
        <v>10</v>
      </c>
      <c r="C937" t="s">
        <v>7</v>
      </c>
      <c r="D937">
        <v>2962.2681855599999</v>
      </c>
    </row>
    <row r="938" spans="1:4">
      <c r="A938" t="s">
        <v>46</v>
      </c>
      <c r="B938" t="s">
        <v>7</v>
      </c>
      <c r="C938" t="s">
        <v>8</v>
      </c>
      <c r="D938">
        <v>2968.8823681439999</v>
      </c>
    </row>
    <row r="939" spans="1:4">
      <c r="A939" t="s">
        <v>46</v>
      </c>
      <c r="B939" t="s">
        <v>678</v>
      </c>
      <c r="C939" t="s">
        <v>16</v>
      </c>
      <c r="D939">
        <v>37973.184518599999</v>
      </c>
    </row>
    <row r="940" spans="1:4">
      <c r="A940" t="s">
        <v>46</v>
      </c>
      <c r="B940" t="s">
        <v>10</v>
      </c>
      <c r="C940" t="s">
        <v>16</v>
      </c>
      <c r="D940">
        <v>761467.07781000005</v>
      </c>
    </row>
    <row r="941" spans="1:4">
      <c r="A941" t="s">
        <v>46</v>
      </c>
      <c r="B941" t="s">
        <v>678</v>
      </c>
      <c r="C941" t="s">
        <v>17</v>
      </c>
      <c r="D941">
        <v>0</v>
      </c>
    </row>
    <row r="942" spans="1:4">
      <c r="A942" t="s">
        <v>46</v>
      </c>
      <c r="B942" t="s">
        <v>10</v>
      </c>
      <c r="C942" t="s">
        <v>17</v>
      </c>
      <c r="D942">
        <v>16360.5</v>
      </c>
    </row>
    <row r="943" spans="1:4">
      <c r="A943" t="s">
        <v>46</v>
      </c>
      <c r="B943" t="s">
        <v>17</v>
      </c>
      <c r="C943" t="s">
        <v>16</v>
      </c>
      <c r="D943">
        <v>16360.5</v>
      </c>
    </row>
    <row r="944" spans="1:4">
      <c r="A944" t="s">
        <v>46</v>
      </c>
      <c r="B944" t="s">
        <v>14</v>
      </c>
      <c r="C944" t="s">
        <v>678</v>
      </c>
      <c r="D944">
        <v>43881.85</v>
      </c>
    </row>
    <row r="945" spans="1:5">
      <c r="A945" t="s">
        <v>46</v>
      </c>
      <c r="B945" t="s">
        <v>14</v>
      </c>
      <c r="C945" t="s">
        <v>10</v>
      </c>
      <c r="D945">
        <v>4563636</v>
      </c>
    </row>
    <row r="946" spans="1:5">
      <c r="A946" t="s">
        <v>46</v>
      </c>
      <c r="B946" t="s">
        <v>6</v>
      </c>
      <c r="C946" t="s">
        <v>14</v>
      </c>
      <c r="D946">
        <v>4607517.8499999996</v>
      </c>
    </row>
    <row r="947" spans="1:5">
      <c r="A947" t="s">
        <v>46</v>
      </c>
      <c r="B947" t="s">
        <v>8</v>
      </c>
      <c r="C947" t="s">
        <v>14</v>
      </c>
      <c r="D947">
        <v>0</v>
      </c>
    </row>
    <row r="948" spans="1:5">
      <c r="A948" t="s">
        <v>46</v>
      </c>
      <c r="B948" t="s">
        <v>9</v>
      </c>
      <c r="C948" t="s">
        <v>678</v>
      </c>
      <c r="D948">
        <v>33404.944000000003</v>
      </c>
    </row>
    <row r="949" spans="1:5">
      <c r="A949" t="s">
        <v>46</v>
      </c>
      <c r="B949" t="s">
        <v>9</v>
      </c>
      <c r="C949" t="s">
        <v>10</v>
      </c>
      <c r="D949">
        <v>36378.85</v>
      </c>
    </row>
    <row r="950" spans="1:5">
      <c r="A950" t="s">
        <v>46</v>
      </c>
      <c r="B950" t="s">
        <v>6</v>
      </c>
      <c r="C950" t="s">
        <v>9</v>
      </c>
      <c r="D950">
        <v>69783.793999999994</v>
      </c>
    </row>
    <row r="951" spans="1:5">
      <c r="A951" t="s">
        <v>46</v>
      </c>
      <c r="B951" t="s">
        <v>13</v>
      </c>
      <c r="C951" t="s">
        <v>678</v>
      </c>
      <c r="D951">
        <v>46173.2</v>
      </c>
    </row>
    <row r="952" spans="1:5">
      <c r="A952" t="s">
        <v>46</v>
      </c>
      <c r="B952" t="s">
        <v>13</v>
      </c>
      <c r="C952" t="s">
        <v>10</v>
      </c>
      <c r="D952">
        <v>2524372</v>
      </c>
      <c r="E952" s="1"/>
    </row>
    <row r="953" spans="1:5">
      <c r="A953" t="s">
        <v>46</v>
      </c>
      <c r="B953" t="s">
        <v>6</v>
      </c>
      <c r="C953" t="s">
        <v>13</v>
      </c>
      <c r="D953">
        <v>2570545.2000000002</v>
      </c>
      <c r="E953" s="1"/>
    </row>
    <row r="954" spans="1:5">
      <c r="A954" t="s">
        <v>46</v>
      </c>
      <c r="B954" t="s">
        <v>8</v>
      </c>
      <c r="C954" t="s">
        <v>678</v>
      </c>
      <c r="D954">
        <v>-17860.701529999998</v>
      </c>
    </row>
    <row r="955" spans="1:5">
      <c r="A955" t="s">
        <v>46</v>
      </c>
      <c r="B955" t="s">
        <v>8</v>
      </c>
      <c r="C955" t="s">
        <v>10</v>
      </c>
      <c r="D955">
        <v>-8261.8609044389996</v>
      </c>
      <c r="E955" s="1"/>
    </row>
    <row r="956" spans="1:5">
      <c r="A956" t="s">
        <v>46</v>
      </c>
      <c r="B956" t="s">
        <v>12</v>
      </c>
      <c r="C956" t="s">
        <v>678</v>
      </c>
      <c r="D956">
        <v>601.40898783099999</v>
      </c>
    </row>
    <row r="957" spans="1:5">
      <c r="A957" t="s">
        <v>46</v>
      </c>
      <c r="B957" t="s">
        <v>12</v>
      </c>
      <c r="C957" t="s">
        <v>10</v>
      </c>
      <c r="D957">
        <v>24077.053812999999</v>
      </c>
    </row>
    <row r="958" spans="1:5">
      <c r="A958" t="s">
        <v>46</v>
      </c>
      <c r="B958" t="s">
        <v>8</v>
      </c>
      <c r="C958" t="s">
        <v>12</v>
      </c>
      <c r="D958">
        <v>24678.462800830999</v>
      </c>
    </row>
    <row r="959" spans="1:5">
      <c r="A959" t="s">
        <v>46</v>
      </c>
      <c r="B959" t="s">
        <v>16</v>
      </c>
      <c r="C959" t="s">
        <v>678</v>
      </c>
      <c r="D959">
        <v>22255.302440790001</v>
      </c>
    </row>
    <row r="960" spans="1:5">
      <c r="A960" t="s">
        <v>46</v>
      </c>
      <c r="B960" t="s">
        <v>16</v>
      </c>
      <c r="C960" t="s">
        <v>10</v>
      </c>
      <c r="D960">
        <v>1062756.9339999999</v>
      </c>
    </row>
    <row r="961" spans="1:5">
      <c r="A961" t="s">
        <v>46</v>
      </c>
      <c r="B961" t="s">
        <v>790</v>
      </c>
      <c r="C961" t="s">
        <v>678</v>
      </c>
      <c r="D961">
        <v>0</v>
      </c>
    </row>
    <row r="962" spans="1:5">
      <c r="A962" t="s">
        <v>46</v>
      </c>
      <c r="B962" t="s">
        <v>790</v>
      </c>
      <c r="C962" t="s">
        <v>10</v>
      </c>
      <c r="D962">
        <v>0</v>
      </c>
    </row>
    <row r="963" spans="1:5">
      <c r="A963" t="s">
        <v>46</v>
      </c>
      <c r="B963" t="s">
        <v>8</v>
      </c>
      <c r="C963" t="s">
        <v>790</v>
      </c>
      <c r="D963">
        <v>0</v>
      </c>
    </row>
    <row r="964" spans="1:5">
      <c r="A964" t="s">
        <v>46</v>
      </c>
      <c r="B964" t="s">
        <v>8</v>
      </c>
      <c r="C964" t="s">
        <v>6</v>
      </c>
      <c r="D964">
        <v>623584.37710000004</v>
      </c>
    </row>
    <row r="965" spans="1:5">
      <c r="A965" t="s">
        <v>46</v>
      </c>
      <c r="B965" t="s">
        <v>15</v>
      </c>
      <c r="C965" t="s">
        <v>6</v>
      </c>
      <c r="D965">
        <v>402362.4</v>
      </c>
    </row>
    <row r="966" spans="1:5">
      <c r="A966" t="s">
        <v>46</v>
      </c>
      <c r="B966" t="s">
        <v>5</v>
      </c>
      <c r="C966" t="s">
        <v>6</v>
      </c>
      <c r="D966">
        <v>726794.5</v>
      </c>
    </row>
    <row r="967" spans="1:5">
      <c r="A967" t="s">
        <v>46</v>
      </c>
      <c r="B967" t="s">
        <v>15</v>
      </c>
      <c r="C967" t="s">
        <v>5</v>
      </c>
      <c r="D967">
        <v>726794.5</v>
      </c>
    </row>
    <row r="968" spans="1:5">
      <c r="A968" t="s">
        <v>46</v>
      </c>
      <c r="B968" t="s">
        <v>6</v>
      </c>
      <c r="C968" t="s">
        <v>8</v>
      </c>
      <c r="D968">
        <v>0</v>
      </c>
    </row>
    <row r="969" spans="1:5">
      <c r="A969" t="s">
        <v>46</v>
      </c>
      <c r="B969" t="s">
        <v>15</v>
      </c>
      <c r="C969" t="s">
        <v>16</v>
      </c>
      <c r="D969">
        <v>269211.46175000002</v>
      </c>
    </row>
    <row r="970" spans="1:5">
      <c r="A970" t="s">
        <v>46</v>
      </c>
      <c r="B970" t="s">
        <v>15</v>
      </c>
      <c r="C970" t="s">
        <v>8</v>
      </c>
      <c r="D970">
        <v>3.8511231E-2</v>
      </c>
      <c r="E970" s="1"/>
    </row>
    <row r="971" spans="1:5">
      <c r="A971" t="s">
        <v>35</v>
      </c>
      <c r="B971" t="s">
        <v>678</v>
      </c>
      <c r="C971" t="s">
        <v>678</v>
      </c>
      <c r="D971">
        <v>5220.2078000000001</v>
      </c>
    </row>
    <row r="972" spans="1:5">
      <c r="A972" t="s">
        <v>35</v>
      </c>
      <c r="B972" t="s">
        <v>10</v>
      </c>
      <c r="C972" t="s">
        <v>678</v>
      </c>
      <c r="D972">
        <v>9015.7772999999997</v>
      </c>
    </row>
    <row r="973" spans="1:5">
      <c r="A973" t="s">
        <v>35</v>
      </c>
      <c r="B973" t="s">
        <v>678</v>
      </c>
      <c r="C973" t="s">
        <v>10</v>
      </c>
      <c r="D973">
        <v>25744.934000000001</v>
      </c>
    </row>
    <row r="974" spans="1:5">
      <c r="A974" t="s">
        <v>35</v>
      </c>
      <c r="B974" t="s">
        <v>10</v>
      </c>
      <c r="C974" t="s">
        <v>10</v>
      </c>
      <c r="D974">
        <v>246075.27</v>
      </c>
    </row>
    <row r="975" spans="1:5">
      <c r="A975" t="s">
        <v>35</v>
      </c>
      <c r="B975" t="s">
        <v>11</v>
      </c>
      <c r="C975" t="s">
        <v>678</v>
      </c>
      <c r="D975">
        <v>96.209748363000003</v>
      </c>
    </row>
    <row r="976" spans="1:5">
      <c r="A976" t="s">
        <v>35</v>
      </c>
      <c r="B976" t="s">
        <v>11</v>
      </c>
      <c r="C976" t="s">
        <v>10</v>
      </c>
      <c r="D976">
        <v>2328.382526547</v>
      </c>
    </row>
    <row r="977" spans="1:4">
      <c r="A977" t="s">
        <v>35</v>
      </c>
      <c r="B977" t="s">
        <v>678</v>
      </c>
      <c r="C977" t="s">
        <v>6</v>
      </c>
      <c r="D977">
        <v>16922.321800000002</v>
      </c>
    </row>
    <row r="978" spans="1:4">
      <c r="A978" t="s">
        <v>35</v>
      </c>
      <c r="B978" t="s">
        <v>10</v>
      </c>
      <c r="C978" t="s">
        <v>6</v>
      </c>
      <c r="D978">
        <v>245056.73</v>
      </c>
    </row>
    <row r="979" spans="1:4">
      <c r="A979" t="s">
        <v>35</v>
      </c>
      <c r="B979" t="s">
        <v>11</v>
      </c>
      <c r="C979" t="s">
        <v>6</v>
      </c>
      <c r="D979">
        <v>978.15735169799996</v>
      </c>
    </row>
    <row r="980" spans="1:4">
      <c r="A980" t="s">
        <v>35</v>
      </c>
      <c r="B980" t="s">
        <v>678</v>
      </c>
      <c r="C980" t="s">
        <v>8</v>
      </c>
      <c r="D980">
        <v>191.99849</v>
      </c>
    </row>
    <row r="981" spans="1:4">
      <c r="A981" t="s">
        <v>35</v>
      </c>
      <c r="B981" t="s">
        <v>10</v>
      </c>
      <c r="C981" t="s">
        <v>8</v>
      </c>
      <c r="D981">
        <v>33460.874000000003</v>
      </c>
    </row>
    <row r="982" spans="1:4">
      <c r="A982" t="s">
        <v>35</v>
      </c>
      <c r="B982" t="s">
        <v>11</v>
      </c>
      <c r="C982" t="s">
        <v>8</v>
      </c>
      <c r="D982">
        <v>2.373282363</v>
      </c>
    </row>
    <row r="983" spans="1:4">
      <c r="A983" t="s">
        <v>35</v>
      </c>
      <c r="B983" t="s">
        <v>678</v>
      </c>
      <c r="C983" t="s">
        <v>15</v>
      </c>
      <c r="D983">
        <v>696.69123999999999</v>
      </c>
    </row>
    <row r="984" spans="1:4">
      <c r="A984" t="s">
        <v>35</v>
      </c>
      <c r="B984" t="s">
        <v>10</v>
      </c>
      <c r="C984" t="s">
        <v>15</v>
      </c>
      <c r="D984">
        <v>78057.320000000007</v>
      </c>
    </row>
    <row r="985" spans="1:4">
      <c r="A985" t="s">
        <v>35</v>
      </c>
      <c r="B985" t="s">
        <v>11</v>
      </c>
      <c r="C985" t="s">
        <v>15</v>
      </c>
      <c r="D985">
        <v>-11.491310411000001</v>
      </c>
    </row>
    <row r="986" spans="1:4">
      <c r="A986" t="s">
        <v>35</v>
      </c>
      <c r="B986" t="s">
        <v>8</v>
      </c>
      <c r="C986" t="s">
        <v>11</v>
      </c>
      <c r="D986">
        <v>3393.6315985599999</v>
      </c>
    </row>
    <row r="987" spans="1:4">
      <c r="A987" t="s">
        <v>35</v>
      </c>
      <c r="B987" t="s">
        <v>678</v>
      </c>
      <c r="C987" t="s">
        <v>7</v>
      </c>
      <c r="D987">
        <v>8.2823151100000008</v>
      </c>
    </row>
    <row r="988" spans="1:4">
      <c r="A988" t="s">
        <v>35</v>
      </c>
      <c r="B988" t="s">
        <v>10</v>
      </c>
      <c r="C988" t="s">
        <v>7</v>
      </c>
      <c r="D988">
        <v>101.955324471</v>
      </c>
    </row>
    <row r="989" spans="1:4">
      <c r="A989" t="s">
        <v>35</v>
      </c>
      <c r="B989" t="s">
        <v>7</v>
      </c>
      <c r="C989" t="s">
        <v>8</v>
      </c>
      <c r="D989">
        <v>110.237639581</v>
      </c>
    </row>
    <row r="990" spans="1:4">
      <c r="A990" t="s">
        <v>35</v>
      </c>
      <c r="B990" t="s">
        <v>678</v>
      </c>
      <c r="C990" t="s">
        <v>16</v>
      </c>
      <c r="D990">
        <v>3825.0238333900002</v>
      </c>
    </row>
    <row r="991" spans="1:4">
      <c r="A991" t="s">
        <v>35</v>
      </c>
      <c r="B991" t="s">
        <v>10</v>
      </c>
      <c r="C991" t="s">
        <v>16</v>
      </c>
      <c r="D991">
        <v>111241.11395</v>
      </c>
    </row>
    <row r="992" spans="1:4">
      <c r="A992" t="s">
        <v>35</v>
      </c>
      <c r="B992" t="s">
        <v>678</v>
      </c>
      <c r="C992" t="s">
        <v>17</v>
      </c>
      <c r="D992">
        <v>0</v>
      </c>
    </row>
    <row r="993" spans="1:4">
      <c r="A993" t="s">
        <v>35</v>
      </c>
      <c r="B993" t="s">
        <v>10</v>
      </c>
      <c r="C993" t="s">
        <v>17</v>
      </c>
      <c r="D993">
        <v>72.289990000000003</v>
      </c>
    </row>
    <row r="994" spans="1:4">
      <c r="A994" t="s">
        <v>35</v>
      </c>
      <c r="B994" t="s">
        <v>17</v>
      </c>
      <c r="C994" t="s">
        <v>16</v>
      </c>
      <c r="D994">
        <v>72.289990000000003</v>
      </c>
    </row>
    <row r="995" spans="1:4">
      <c r="A995" t="s">
        <v>35</v>
      </c>
      <c r="B995" t="s">
        <v>14</v>
      </c>
      <c r="C995" t="s">
        <v>678</v>
      </c>
      <c r="D995">
        <v>15813.03</v>
      </c>
    </row>
    <row r="996" spans="1:4">
      <c r="A996" t="s">
        <v>35</v>
      </c>
      <c r="B996" t="s">
        <v>14</v>
      </c>
      <c r="C996" t="s">
        <v>10</v>
      </c>
      <c r="D996">
        <v>100452.7</v>
      </c>
    </row>
    <row r="997" spans="1:4">
      <c r="A997" t="s">
        <v>35</v>
      </c>
      <c r="B997" t="s">
        <v>6</v>
      </c>
      <c r="C997" t="s">
        <v>14</v>
      </c>
      <c r="D997">
        <v>116265.73</v>
      </c>
    </row>
    <row r="998" spans="1:4">
      <c r="A998" t="s">
        <v>35</v>
      </c>
      <c r="B998" t="s">
        <v>8</v>
      </c>
      <c r="C998" t="s">
        <v>14</v>
      </c>
      <c r="D998">
        <v>0</v>
      </c>
    </row>
    <row r="999" spans="1:4">
      <c r="A999" t="s">
        <v>35</v>
      </c>
      <c r="B999" t="s">
        <v>9</v>
      </c>
      <c r="C999" t="s">
        <v>678</v>
      </c>
      <c r="D999">
        <v>9733.1370999999999</v>
      </c>
    </row>
    <row r="1000" spans="1:4">
      <c r="A1000" t="s">
        <v>35</v>
      </c>
      <c r="B1000" t="s">
        <v>9</v>
      </c>
      <c r="C1000" t="s">
        <v>10</v>
      </c>
      <c r="D1000">
        <v>4475.9750000000004</v>
      </c>
    </row>
    <row r="1001" spans="1:4">
      <c r="A1001" t="s">
        <v>35</v>
      </c>
      <c r="B1001" t="s">
        <v>6</v>
      </c>
      <c r="C1001" t="s">
        <v>9</v>
      </c>
      <c r="D1001">
        <v>14209.1121</v>
      </c>
    </row>
    <row r="1002" spans="1:4">
      <c r="A1002" t="s">
        <v>35</v>
      </c>
      <c r="B1002" t="s">
        <v>13</v>
      </c>
      <c r="C1002" t="s">
        <v>678</v>
      </c>
      <c r="D1002">
        <v>10474.23</v>
      </c>
    </row>
    <row r="1003" spans="1:4">
      <c r="A1003" t="s">
        <v>35</v>
      </c>
      <c r="B1003" t="s">
        <v>13</v>
      </c>
      <c r="C1003" t="s">
        <v>10</v>
      </c>
      <c r="D1003">
        <v>208391.1</v>
      </c>
    </row>
    <row r="1004" spans="1:4">
      <c r="A1004" t="s">
        <v>35</v>
      </c>
      <c r="B1004" t="s">
        <v>6</v>
      </c>
      <c r="C1004" t="s">
        <v>13</v>
      </c>
      <c r="D1004">
        <v>218865.33</v>
      </c>
    </row>
    <row r="1005" spans="1:4">
      <c r="A1005" t="s">
        <v>35</v>
      </c>
      <c r="B1005" t="s">
        <v>8</v>
      </c>
      <c r="C1005" t="s">
        <v>678</v>
      </c>
      <c r="D1005">
        <v>-2392.478599863</v>
      </c>
    </row>
    <row r="1006" spans="1:4">
      <c r="A1006" t="s">
        <v>35</v>
      </c>
      <c r="B1006" t="s">
        <v>8</v>
      </c>
      <c r="C1006" t="s">
        <v>10</v>
      </c>
      <c r="D1006">
        <v>34044.331733931998</v>
      </c>
    </row>
    <row r="1007" spans="1:4">
      <c r="A1007" t="s">
        <v>35</v>
      </c>
      <c r="B1007" t="s">
        <v>12</v>
      </c>
      <c r="C1007" t="s">
        <v>678</v>
      </c>
      <c r="D1007">
        <v>270.06632896399998</v>
      </c>
    </row>
    <row r="1008" spans="1:4">
      <c r="A1008" t="s">
        <v>35</v>
      </c>
      <c r="B1008" t="s">
        <v>12</v>
      </c>
      <c r="C1008" t="s">
        <v>10</v>
      </c>
      <c r="D1008">
        <v>3170.1706210870002</v>
      </c>
    </row>
    <row r="1009" spans="1:4">
      <c r="A1009" t="s">
        <v>35</v>
      </c>
      <c r="B1009" t="s">
        <v>8</v>
      </c>
      <c r="C1009" t="s">
        <v>12</v>
      </c>
      <c r="D1009">
        <v>3440.2369500509999</v>
      </c>
    </row>
    <row r="1010" spans="1:4">
      <c r="A1010" t="s">
        <v>35</v>
      </c>
      <c r="B1010" t="s">
        <v>16</v>
      </c>
      <c r="C1010" t="s">
        <v>678</v>
      </c>
      <c r="D1010">
        <v>4379.2796427849999</v>
      </c>
    </row>
    <row r="1011" spans="1:4">
      <c r="A1011" t="s">
        <v>35</v>
      </c>
      <c r="B1011" t="s">
        <v>16</v>
      </c>
      <c r="C1011" t="s">
        <v>10</v>
      </c>
      <c r="D1011">
        <v>98398.458765934003</v>
      </c>
    </row>
    <row r="1012" spans="1:4">
      <c r="A1012" t="s">
        <v>35</v>
      </c>
      <c r="B1012" t="s">
        <v>790</v>
      </c>
      <c r="C1012" t="s">
        <v>678</v>
      </c>
      <c r="D1012">
        <v>0</v>
      </c>
    </row>
    <row r="1013" spans="1:4">
      <c r="A1013" t="s">
        <v>35</v>
      </c>
      <c r="B1013" t="s">
        <v>790</v>
      </c>
      <c r="C1013" t="s">
        <v>10</v>
      </c>
      <c r="D1013">
        <v>0</v>
      </c>
    </row>
    <row r="1014" spans="1:4">
      <c r="A1014" t="s">
        <v>35</v>
      </c>
      <c r="B1014" t="s">
        <v>8</v>
      </c>
      <c r="C1014" t="s">
        <v>790</v>
      </c>
      <c r="D1014">
        <v>0</v>
      </c>
    </row>
    <row r="1015" spans="1:4">
      <c r="A1015" t="s">
        <v>35</v>
      </c>
      <c r="B1015" t="s">
        <v>8</v>
      </c>
      <c r="C1015" t="s">
        <v>6</v>
      </c>
      <c r="D1015">
        <v>-4720.2770516979999</v>
      </c>
    </row>
    <row r="1016" spans="1:4">
      <c r="A1016" t="s">
        <v>35</v>
      </c>
      <c r="B1016" t="s">
        <v>15</v>
      </c>
      <c r="C1016" t="s">
        <v>6</v>
      </c>
      <c r="D1016">
        <v>45253.36</v>
      </c>
    </row>
    <row r="1017" spans="1:4">
      <c r="A1017" t="s">
        <v>35</v>
      </c>
      <c r="B1017" t="s">
        <v>5</v>
      </c>
      <c r="C1017" t="s">
        <v>6</v>
      </c>
      <c r="D1017">
        <v>45849.88</v>
      </c>
    </row>
    <row r="1018" spans="1:4">
      <c r="A1018" t="s">
        <v>35</v>
      </c>
      <c r="B1018" t="s">
        <v>15</v>
      </c>
      <c r="C1018" t="s">
        <v>5</v>
      </c>
      <c r="D1018">
        <v>45849.88</v>
      </c>
    </row>
    <row r="1019" spans="1:4">
      <c r="A1019" t="s">
        <v>35</v>
      </c>
      <c r="B1019" t="s">
        <v>6</v>
      </c>
      <c r="C1019" t="s">
        <v>8</v>
      </c>
      <c r="D1019">
        <v>0</v>
      </c>
    </row>
    <row r="1020" spans="1:4">
      <c r="A1020" t="s">
        <v>35</v>
      </c>
      <c r="B1020" t="s">
        <v>16</v>
      </c>
      <c r="C1020" t="s">
        <v>15</v>
      </c>
      <c r="D1020">
        <v>12360.689360679</v>
      </c>
    </row>
    <row r="1021" spans="1:4">
      <c r="A1021" t="s">
        <v>35</v>
      </c>
      <c r="B1021" t="s">
        <v>8</v>
      </c>
      <c r="C1021" t="s">
        <v>15</v>
      </c>
      <c r="D1021">
        <v>3.8780962000000002E-2</v>
      </c>
    </row>
    <row r="1022" spans="1:4">
      <c r="A1022" t="s">
        <v>792</v>
      </c>
      <c r="B1022" t="s">
        <v>678</v>
      </c>
      <c r="C1022" t="s">
        <v>678</v>
      </c>
      <c r="D1022">
        <v>1058.2293299999999</v>
      </c>
    </row>
    <row r="1023" spans="1:4">
      <c r="A1023" t="s">
        <v>792</v>
      </c>
      <c r="B1023" t="s">
        <v>10</v>
      </c>
      <c r="C1023" t="s">
        <v>678</v>
      </c>
      <c r="D1023">
        <v>3008.6709000000001</v>
      </c>
    </row>
    <row r="1024" spans="1:4">
      <c r="A1024" t="s">
        <v>792</v>
      </c>
      <c r="B1024" t="s">
        <v>678</v>
      </c>
      <c r="C1024" t="s">
        <v>10</v>
      </c>
      <c r="D1024">
        <v>4920.2221</v>
      </c>
    </row>
    <row r="1025" spans="1:4">
      <c r="A1025" t="s">
        <v>792</v>
      </c>
      <c r="B1025" t="s">
        <v>10</v>
      </c>
      <c r="C1025" t="s">
        <v>10</v>
      </c>
      <c r="D1025">
        <v>52247.13</v>
      </c>
    </row>
    <row r="1026" spans="1:4">
      <c r="A1026" t="s">
        <v>792</v>
      </c>
      <c r="B1026" t="s">
        <v>11</v>
      </c>
      <c r="C1026" t="s">
        <v>678</v>
      </c>
      <c r="D1026">
        <v>77.520577000000003</v>
      </c>
    </row>
    <row r="1027" spans="1:4">
      <c r="A1027" t="s">
        <v>792</v>
      </c>
      <c r="B1027" t="s">
        <v>11</v>
      </c>
      <c r="C1027" t="s">
        <v>10</v>
      </c>
      <c r="D1027">
        <v>1668.6942429999999</v>
      </c>
    </row>
    <row r="1028" spans="1:4">
      <c r="A1028" t="s">
        <v>792</v>
      </c>
      <c r="B1028" t="s">
        <v>678</v>
      </c>
      <c r="C1028" t="s">
        <v>6</v>
      </c>
      <c r="D1028">
        <v>3372.5189999999998</v>
      </c>
    </row>
    <row r="1029" spans="1:4">
      <c r="A1029" t="s">
        <v>792</v>
      </c>
      <c r="B1029" t="s">
        <v>10</v>
      </c>
      <c r="C1029" t="s">
        <v>6</v>
      </c>
      <c r="D1029">
        <v>58142.29</v>
      </c>
    </row>
    <row r="1030" spans="1:4">
      <c r="A1030" t="s">
        <v>792</v>
      </c>
      <c r="B1030" t="s">
        <v>11</v>
      </c>
      <c r="C1030" t="s">
        <v>6</v>
      </c>
      <c r="D1030">
        <v>17534.857757000002</v>
      </c>
    </row>
    <row r="1031" spans="1:4">
      <c r="A1031" t="s">
        <v>792</v>
      </c>
      <c r="B1031" t="s">
        <v>678</v>
      </c>
      <c r="C1031" t="s">
        <v>8</v>
      </c>
      <c r="D1031">
        <v>33.33408</v>
      </c>
    </row>
    <row r="1032" spans="1:4">
      <c r="A1032" t="s">
        <v>792</v>
      </c>
      <c r="B1032" t="s">
        <v>10</v>
      </c>
      <c r="C1032" t="s">
        <v>8</v>
      </c>
      <c r="D1032">
        <v>11472.766</v>
      </c>
    </row>
    <row r="1033" spans="1:4">
      <c r="A1033" t="s">
        <v>792</v>
      </c>
      <c r="B1033" t="s">
        <v>11</v>
      </c>
      <c r="C1033" t="s">
        <v>8</v>
      </c>
      <c r="D1033">
        <v>39.234902234000003</v>
      </c>
    </row>
    <row r="1034" spans="1:4">
      <c r="A1034" t="s">
        <v>792</v>
      </c>
      <c r="B1034" t="s">
        <v>678</v>
      </c>
      <c r="C1034" t="s">
        <v>15</v>
      </c>
      <c r="D1034">
        <v>349.6198</v>
      </c>
    </row>
    <row r="1035" spans="1:4">
      <c r="A1035" t="s">
        <v>792</v>
      </c>
      <c r="B1035" t="s">
        <v>10</v>
      </c>
      <c r="C1035" t="s">
        <v>15</v>
      </c>
      <c r="D1035">
        <v>21492.65</v>
      </c>
    </row>
    <row r="1036" spans="1:4">
      <c r="A1036" t="s">
        <v>792</v>
      </c>
      <c r="B1036" t="s">
        <v>11</v>
      </c>
      <c r="C1036" t="s">
        <v>15</v>
      </c>
      <c r="D1036">
        <v>589.68603010000004</v>
      </c>
    </row>
    <row r="1037" spans="1:4">
      <c r="A1037" t="s">
        <v>792</v>
      </c>
      <c r="B1037" t="s">
        <v>8</v>
      </c>
      <c r="C1037" t="s">
        <v>11</v>
      </c>
      <c r="D1037">
        <v>19909.993509333999</v>
      </c>
    </row>
    <row r="1038" spans="1:4">
      <c r="A1038" t="s">
        <v>792</v>
      </c>
      <c r="B1038" t="s">
        <v>678</v>
      </c>
      <c r="C1038" t="s">
        <v>7</v>
      </c>
      <c r="D1038">
        <v>0</v>
      </c>
    </row>
    <row r="1039" spans="1:4">
      <c r="A1039" t="s">
        <v>792</v>
      </c>
      <c r="B1039" t="s">
        <v>10</v>
      </c>
      <c r="C1039" t="s">
        <v>7</v>
      </c>
      <c r="D1039">
        <v>-17.849646469</v>
      </c>
    </row>
    <row r="1040" spans="1:4">
      <c r="A1040" t="s">
        <v>792</v>
      </c>
      <c r="B1040" t="s">
        <v>7</v>
      </c>
      <c r="C1040" t="s">
        <v>8</v>
      </c>
      <c r="D1040">
        <v>-17.849646469</v>
      </c>
    </row>
    <row r="1041" spans="1:4">
      <c r="A1041" t="s">
        <v>792</v>
      </c>
      <c r="B1041" t="s">
        <v>678</v>
      </c>
      <c r="C1041" t="s">
        <v>16</v>
      </c>
      <c r="D1041">
        <v>5112.2953585770001</v>
      </c>
    </row>
    <row r="1042" spans="1:4">
      <c r="A1042" t="s">
        <v>792</v>
      </c>
      <c r="B1042" t="s">
        <v>10</v>
      </c>
      <c r="C1042" t="s">
        <v>16</v>
      </c>
      <c r="D1042">
        <v>30331.911251500002</v>
      </c>
    </row>
    <row r="1043" spans="1:4">
      <c r="A1043" t="s">
        <v>792</v>
      </c>
      <c r="B1043" t="s">
        <v>678</v>
      </c>
      <c r="C1043" t="s">
        <v>17</v>
      </c>
      <c r="D1043">
        <v>0</v>
      </c>
    </row>
    <row r="1044" spans="1:4">
      <c r="A1044" t="s">
        <v>792</v>
      </c>
      <c r="B1044" t="s">
        <v>10</v>
      </c>
      <c r="C1044" t="s">
        <v>17</v>
      </c>
      <c r="D1044">
        <v>416.44529999999997</v>
      </c>
    </row>
    <row r="1045" spans="1:4">
      <c r="A1045" t="s">
        <v>792</v>
      </c>
      <c r="B1045" t="s">
        <v>17</v>
      </c>
      <c r="C1045" t="s">
        <v>16</v>
      </c>
      <c r="D1045">
        <v>416.44529999999997</v>
      </c>
    </row>
    <row r="1046" spans="1:4">
      <c r="A1046" t="s">
        <v>792</v>
      </c>
      <c r="B1046" t="s">
        <v>14</v>
      </c>
      <c r="C1046" t="s">
        <v>678</v>
      </c>
      <c r="D1046">
        <v>3711.5830000000001</v>
      </c>
    </row>
    <row r="1047" spans="1:4">
      <c r="A1047" t="s">
        <v>792</v>
      </c>
      <c r="B1047" t="s">
        <v>14</v>
      </c>
      <c r="C1047" t="s">
        <v>10</v>
      </c>
      <c r="D1047">
        <v>19666.689999999999</v>
      </c>
    </row>
    <row r="1048" spans="1:4">
      <c r="A1048" t="s">
        <v>792</v>
      </c>
      <c r="B1048" t="s">
        <v>6</v>
      </c>
      <c r="C1048" t="s">
        <v>14</v>
      </c>
      <c r="D1048">
        <v>23378.273000000001</v>
      </c>
    </row>
    <row r="1049" spans="1:4">
      <c r="A1049" t="s">
        <v>792</v>
      </c>
      <c r="B1049" t="s">
        <v>8</v>
      </c>
      <c r="C1049" t="s">
        <v>14</v>
      </c>
      <c r="D1049">
        <v>0</v>
      </c>
    </row>
    <row r="1050" spans="1:4">
      <c r="A1050" t="s">
        <v>792</v>
      </c>
      <c r="B1050" t="s">
        <v>9</v>
      </c>
      <c r="C1050" t="s">
        <v>678</v>
      </c>
      <c r="D1050">
        <v>2313.4360999999999</v>
      </c>
    </row>
    <row r="1051" spans="1:4">
      <c r="A1051" t="s">
        <v>792</v>
      </c>
      <c r="B1051" t="s">
        <v>9</v>
      </c>
      <c r="C1051" t="s">
        <v>10</v>
      </c>
      <c r="D1051">
        <v>541.16319999999996</v>
      </c>
    </row>
    <row r="1052" spans="1:4">
      <c r="A1052" t="s">
        <v>792</v>
      </c>
      <c r="B1052" t="s">
        <v>6</v>
      </c>
      <c r="C1052" t="s">
        <v>9</v>
      </c>
      <c r="D1052">
        <v>2854.5992999999999</v>
      </c>
    </row>
    <row r="1053" spans="1:4">
      <c r="A1053" t="s">
        <v>792</v>
      </c>
      <c r="B1053" t="s">
        <v>13</v>
      </c>
      <c r="C1053" t="s">
        <v>678</v>
      </c>
      <c r="D1053">
        <v>2263.4830000000002</v>
      </c>
    </row>
    <row r="1054" spans="1:4">
      <c r="A1054" t="s">
        <v>792</v>
      </c>
      <c r="B1054" t="s">
        <v>13</v>
      </c>
      <c r="C1054" t="s">
        <v>10</v>
      </c>
      <c r="D1054">
        <v>28777.88</v>
      </c>
    </row>
    <row r="1055" spans="1:4">
      <c r="A1055" t="s">
        <v>792</v>
      </c>
      <c r="B1055" t="s">
        <v>6</v>
      </c>
      <c r="C1055" t="s">
        <v>13</v>
      </c>
      <c r="D1055">
        <v>31041.363000000001</v>
      </c>
    </row>
    <row r="1056" spans="1:4">
      <c r="A1056" t="s">
        <v>792</v>
      </c>
      <c r="B1056" t="s">
        <v>8</v>
      </c>
      <c r="C1056" t="s">
        <v>678</v>
      </c>
      <c r="D1056">
        <v>36.459091577000002</v>
      </c>
    </row>
    <row r="1057" spans="1:4">
      <c r="A1057" t="s">
        <v>792</v>
      </c>
      <c r="B1057" t="s">
        <v>8</v>
      </c>
      <c r="C1057" t="s">
        <v>10</v>
      </c>
      <c r="D1057">
        <v>1069.5303620310001</v>
      </c>
    </row>
    <row r="1058" spans="1:4">
      <c r="A1058" t="s">
        <v>792</v>
      </c>
      <c r="B1058" t="s">
        <v>12</v>
      </c>
      <c r="C1058" t="s">
        <v>678</v>
      </c>
      <c r="D1058">
        <v>230.38598354000001</v>
      </c>
    </row>
    <row r="1059" spans="1:4">
      <c r="A1059" t="s">
        <v>792</v>
      </c>
      <c r="B1059" t="s">
        <v>12</v>
      </c>
      <c r="C1059" t="s">
        <v>10</v>
      </c>
      <c r="D1059">
        <v>6290.2572558519996</v>
      </c>
    </row>
    <row r="1060" spans="1:4">
      <c r="A1060" t="s">
        <v>792</v>
      </c>
      <c r="B1060" t="s">
        <v>8</v>
      </c>
      <c r="C1060" t="s">
        <v>12</v>
      </c>
      <c r="D1060">
        <v>6520.6432393920004</v>
      </c>
    </row>
    <row r="1061" spans="1:4">
      <c r="A1061" t="s">
        <v>792</v>
      </c>
      <c r="B1061" t="s">
        <v>16</v>
      </c>
      <c r="C1061" t="s">
        <v>678</v>
      </c>
      <c r="D1061">
        <v>2146.4512013379999</v>
      </c>
    </row>
    <row r="1062" spans="1:4">
      <c r="A1062" t="s">
        <v>792</v>
      </c>
      <c r="B1062" t="s">
        <v>16</v>
      </c>
      <c r="C1062" t="s">
        <v>10</v>
      </c>
      <c r="D1062">
        <v>61912.438412862</v>
      </c>
    </row>
    <row r="1063" spans="1:4">
      <c r="A1063" t="s">
        <v>792</v>
      </c>
      <c r="B1063" t="s">
        <v>790</v>
      </c>
      <c r="C1063" t="s">
        <v>678</v>
      </c>
      <c r="D1063">
        <v>0</v>
      </c>
    </row>
    <row r="1064" spans="1:4">
      <c r="A1064" t="s">
        <v>792</v>
      </c>
      <c r="B1064" t="s">
        <v>790</v>
      </c>
      <c r="C1064" t="s">
        <v>10</v>
      </c>
      <c r="D1064">
        <v>0</v>
      </c>
    </row>
    <row r="1065" spans="1:4">
      <c r="A1065" t="s">
        <v>792</v>
      </c>
      <c r="B1065" t="s">
        <v>8</v>
      </c>
      <c r="C1065" t="s">
        <v>790</v>
      </c>
      <c r="D1065">
        <v>0</v>
      </c>
    </row>
    <row r="1066" spans="1:4">
      <c r="A1066" t="s">
        <v>792</v>
      </c>
      <c r="B1066" t="s">
        <v>8</v>
      </c>
      <c r="C1066" t="s">
        <v>6</v>
      </c>
      <c r="D1066">
        <v>-16009.161459999999</v>
      </c>
    </row>
    <row r="1067" spans="1:4">
      <c r="A1067" t="s">
        <v>792</v>
      </c>
      <c r="B1067" t="s">
        <v>15</v>
      </c>
      <c r="C1067" t="s">
        <v>6</v>
      </c>
      <c r="D1067">
        <v>-16654.84</v>
      </c>
    </row>
    <row r="1068" spans="1:4">
      <c r="A1068" t="s">
        <v>792</v>
      </c>
      <c r="B1068" t="s">
        <v>5</v>
      </c>
      <c r="C1068" t="s">
        <v>6</v>
      </c>
      <c r="D1068">
        <v>10888.57</v>
      </c>
    </row>
    <row r="1069" spans="1:4">
      <c r="A1069" t="s">
        <v>792</v>
      </c>
      <c r="B1069" t="s">
        <v>15</v>
      </c>
      <c r="C1069" t="s">
        <v>5</v>
      </c>
      <c r="D1069">
        <v>10888.57</v>
      </c>
    </row>
    <row r="1070" spans="1:4">
      <c r="A1070" t="s">
        <v>792</v>
      </c>
      <c r="B1070" t="s">
        <v>6</v>
      </c>
      <c r="C1070" t="s">
        <v>8</v>
      </c>
      <c r="D1070">
        <v>0</v>
      </c>
    </row>
    <row r="1071" spans="1:4">
      <c r="A1071" t="s">
        <v>792</v>
      </c>
      <c r="B1071" t="s">
        <v>15</v>
      </c>
      <c r="C1071" t="s">
        <v>16</v>
      </c>
      <c r="D1071">
        <v>28198.237704122999</v>
      </c>
    </row>
    <row r="1072" spans="1:4">
      <c r="A1072" t="s">
        <v>792</v>
      </c>
      <c r="B1072" t="s">
        <v>8</v>
      </c>
      <c r="C1072" t="s">
        <v>15</v>
      </c>
      <c r="D1072">
        <v>2.0590430999999999E-2</v>
      </c>
    </row>
    <row r="1073" spans="1:4">
      <c r="A1073" t="s">
        <v>23</v>
      </c>
      <c r="B1073" t="s">
        <v>678</v>
      </c>
      <c r="C1073" t="s">
        <v>678</v>
      </c>
      <c r="D1073">
        <v>40.988469000000002</v>
      </c>
    </row>
    <row r="1074" spans="1:4">
      <c r="A1074" t="s">
        <v>23</v>
      </c>
      <c r="B1074" t="s">
        <v>10</v>
      </c>
      <c r="C1074" t="s">
        <v>678</v>
      </c>
      <c r="D1074">
        <v>2329.6941529999999</v>
      </c>
    </row>
    <row r="1075" spans="1:4">
      <c r="A1075" t="s">
        <v>23</v>
      </c>
      <c r="B1075" t="s">
        <v>678</v>
      </c>
      <c r="C1075" t="s">
        <v>10</v>
      </c>
      <c r="D1075">
        <v>8897.3025500000003</v>
      </c>
    </row>
    <row r="1076" spans="1:4">
      <c r="A1076" t="s">
        <v>23</v>
      </c>
      <c r="B1076" t="s">
        <v>10</v>
      </c>
      <c r="C1076" t="s">
        <v>10</v>
      </c>
      <c r="D1076">
        <v>39131.658100000001</v>
      </c>
    </row>
    <row r="1077" spans="1:4">
      <c r="A1077" t="s">
        <v>23</v>
      </c>
      <c r="B1077" t="s">
        <v>11</v>
      </c>
      <c r="C1077" t="s">
        <v>678</v>
      </c>
      <c r="D1077">
        <v>49.675694403999998</v>
      </c>
    </row>
    <row r="1078" spans="1:4">
      <c r="A1078" t="s">
        <v>23</v>
      </c>
      <c r="B1078" t="s">
        <v>11</v>
      </c>
      <c r="C1078" t="s">
        <v>10</v>
      </c>
      <c r="D1078">
        <v>1798.797584354</v>
      </c>
    </row>
    <row r="1079" spans="1:4">
      <c r="A1079" t="s">
        <v>23</v>
      </c>
      <c r="B1079" t="s">
        <v>678</v>
      </c>
      <c r="C1079" t="s">
        <v>6</v>
      </c>
      <c r="D1079">
        <v>5652.4323999999997</v>
      </c>
    </row>
    <row r="1080" spans="1:4">
      <c r="A1080" t="s">
        <v>23</v>
      </c>
      <c r="B1080" t="s">
        <v>10</v>
      </c>
      <c r="C1080" t="s">
        <v>6</v>
      </c>
      <c r="D1080">
        <v>57721.06</v>
      </c>
    </row>
    <row r="1081" spans="1:4">
      <c r="A1081" t="s">
        <v>23</v>
      </c>
      <c r="B1081" t="s">
        <v>11</v>
      </c>
      <c r="C1081" t="s">
        <v>6</v>
      </c>
      <c r="D1081">
        <v>1471.3767630299999</v>
      </c>
    </row>
    <row r="1082" spans="1:4">
      <c r="A1082" t="s">
        <v>23</v>
      </c>
      <c r="B1082" t="s">
        <v>678</v>
      </c>
      <c r="C1082" t="s">
        <v>8</v>
      </c>
      <c r="D1082">
        <v>4.6441783000000001</v>
      </c>
    </row>
    <row r="1083" spans="1:4">
      <c r="A1083" t="s">
        <v>23</v>
      </c>
      <c r="B1083" t="s">
        <v>10</v>
      </c>
      <c r="C1083" t="s">
        <v>8</v>
      </c>
      <c r="D1083">
        <v>15642.290999999999</v>
      </c>
    </row>
    <row r="1084" spans="1:4">
      <c r="A1084" t="s">
        <v>23</v>
      </c>
      <c r="B1084" t="s">
        <v>11</v>
      </c>
      <c r="C1084" t="s">
        <v>8</v>
      </c>
      <c r="D1084">
        <v>-0.87336020000000003</v>
      </c>
    </row>
    <row r="1085" spans="1:4">
      <c r="A1085" t="s">
        <v>23</v>
      </c>
      <c r="B1085" t="s">
        <v>678</v>
      </c>
      <c r="C1085" t="s">
        <v>15</v>
      </c>
      <c r="D1085">
        <v>365.56637806399999</v>
      </c>
    </row>
    <row r="1086" spans="1:4">
      <c r="A1086" t="s">
        <v>23</v>
      </c>
      <c r="B1086" t="s">
        <v>10</v>
      </c>
      <c r="C1086" t="s">
        <v>15</v>
      </c>
      <c r="D1086">
        <v>15722.065000000001</v>
      </c>
    </row>
    <row r="1087" spans="1:4">
      <c r="A1087" t="s">
        <v>23</v>
      </c>
      <c r="B1087" t="s">
        <v>11</v>
      </c>
      <c r="C1087" t="s">
        <v>15</v>
      </c>
      <c r="D1087">
        <v>50.556912400000002</v>
      </c>
    </row>
    <row r="1088" spans="1:4">
      <c r="A1088" t="s">
        <v>23</v>
      </c>
      <c r="B1088" t="s">
        <v>8</v>
      </c>
      <c r="C1088" t="s">
        <v>11</v>
      </c>
      <c r="D1088">
        <v>3369.5335939890001</v>
      </c>
    </row>
    <row r="1089" spans="1:4">
      <c r="A1089" t="s">
        <v>23</v>
      </c>
      <c r="B1089" t="s">
        <v>678</v>
      </c>
      <c r="C1089" t="s">
        <v>7</v>
      </c>
      <c r="D1089">
        <v>0</v>
      </c>
    </row>
    <row r="1090" spans="1:4">
      <c r="A1090" t="s">
        <v>23</v>
      </c>
      <c r="B1090" t="s">
        <v>10</v>
      </c>
      <c r="C1090" t="s">
        <v>7</v>
      </c>
      <c r="D1090">
        <v>-0.57086254800000003</v>
      </c>
    </row>
    <row r="1091" spans="1:4">
      <c r="A1091" t="s">
        <v>23</v>
      </c>
      <c r="B1091" t="s">
        <v>7</v>
      </c>
      <c r="C1091" t="s">
        <v>8</v>
      </c>
      <c r="D1091">
        <v>-0.57086254800000003</v>
      </c>
    </row>
    <row r="1092" spans="1:4">
      <c r="A1092" t="s">
        <v>23</v>
      </c>
      <c r="B1092" t="s">
        <v>678</v>
      </c>
      <c r="C1092" t="s">
        <v>16</v>
      </c>
      <c r="D1092">
        <v>3335.275632718</v>
      </c>
    </row>
    <row r="1093" spans="1:4">
      <c r="A1093" t="s">
        <v>23</v>
      </c>
      <c r="B1093" t="s">
        <v>10</v>
      </c>
      <c r="C1093" t="s">
        <v>16</v>
      </c>
      <c r="D1093">
        <v>11582.402771929001</v>
      </c>
    </row>
    <row r="1094" spans="1:4">
      <c r="A1094" t="s">
        <v>23</v>
      </c>
      <c r="B1094" t="s">
        <v>678</v>
      </c>
      <c r="C1094" t="s">
        <v>17</v>
      </c>
      <c r="D1094">
        <v>0</v>
      </c>
    </row>
    <row r="1095" spans="1:4">
      <c r="A1095" t="s">
        <v>23</v>
      </c>
      <c r="B1095" t="s">
        <v>10</v>
      </c>
      <c r="C1095" t="s">
        <v>17</v>
      </c>
      <c r="D1095">
        <v>387.32069999999999</v>
      </c>
    </row>
    <row r="1096" spans="1:4">
      <c r="A1096" t="s">
        <v>23</v>
      </c>
      <c r="B1096" t="s">
        <v>17</v>
      </c>
      <c r="C1096" t="s">
        <v>16</v>
      </c>
      <c r="D1096">
        <v>387.32069999999999</v>
      </c>
    </row>
    <row r="1097" spans="1:4">
      <c r="A1097" t="s">
        <v>23</v>
      </c>
      <c r="B1097" t="s">
        <v>14</v>
      </c>
      <c r="C1097" t="s">
        <v>678</v>
      </c>
      <c r="D1097">
        <v>6677.4589999999998</v>
      </c>
    </row>
    <row r="1098" spans="1:4">
      <c r="A1098" t="s">
        <v>23</v>
      </c>
      <c r="B1098" t="s">
        <v>14</v>
      </c>
      <c r="C1098" t="s">
        <v>10</v>
      </c>
      <c r="D1098">
        <v>33506.17</v>
      </c>
    </row>
    <row r="1099" spans="1:4">
      <c r="A1099" t="s">
        <v>23</v>
      </c>
      <c r="B1099" t="s">
        <v>6</v>
      </c>
      <c r="C1099" t="s">
        <v>14</v>
      </c>
      <c r="D1099">
        <v>40183.629000000001</v>
      </c>
    </row>
    <row r="1100" spans="1:4">
      <c r="A1100" t="s">
        <v>23</v>
      </c>
      <c r="B1100" t="s">
        <v>8</v>
      </c>
      <c r="C1100" t="s">
        <v>14</v>
      </c>
      <c r="D1100">
        <v>0</v>
      </c>
    </row>
    <row r="1101" spans="1:4">
      <c r="A1101" t="s">
        <v>23</v>
      </c>
      <c r="B1101" t="s">
        <v>9</v>
      </c>
      <c r="C1101" t="s">
        <v>678</v>
      </c>
      <c r="D1101">
        <v>4077.8445000000002</v>
      </c>
    </row>
    <row r="1102" spans="1:4">
      <c r="A1102" t="s">
        <v>23</v>
      </c>
      <c r="B1102" t="s">
        <v>9</v>
      </c>
      <c r="C1102" t="s">
        <v>10</v>
      </c>
      <c r="D1102">
        <v>1099.3910000000001</v>
      </c>
    </row>
    <row r="1103" spans="1:4">
      <c r="A1103" t="s">
        <v>23</v>
      </c>
      <c r="B1103" t="s">
        <v>6</v>
      </c>
      <c r="C1103" t="s">
        <v>9</v>
      </c>
      <c r="D1103">
        <v>5177.2354999999998</v>
      </c>
    </row>
    <row r="1104" spans="1:4">
      <c r="A1104" t="s">
        <v>23</v>
      </c>
      <c r="B1104" t="s">
        <v>13</v>
      </c>
      <c r="C1104" t="s">
        <v>678</v>
      </c>
      <c r="D1104">
        <v>4076.4119999999998</v>
      </c>
    </row>
    <row r="1105" spans="1:4">
      <c r="A1105" t="s">
        <v>23</v>
      </c>
      <c r="B1105" t="s">
        <v>13</v>
      </c>
      <c r="C1105" t="s">
        <v>10</v>
      </c>
      <c r="D1105">
        <v>35274.129999999997</v>
      </c>
    </row>
    <row r="1106" spans="1:4">
      <c r="A1106" t="s">
        <v>23</v>
      </c>
      <c r="B1106" t="s">
        <v>6</v>
      </c>
      <c r="C1106" t="s">
        <v>13</v>
      </c>
      <c r="D1106">
        <v>39350.542000000001</v>
      </c>
    </row>
    <row r="1107" spans="1:4">
      <c r="A1107" t="s">
        <v>23</v>
      </c>
      <c r="B1107" t="s">
        <v>8</v>
      </c>
      <c r="C1107" t="s">
        <v>678</v>
      </c>
      <c r="D1107">
        <v>49.641611613999999</v>
      </c>
    </row>
    <row r="1108" spans="1:4">
      <c r="A1108" t="s">
        <v>23</v>
      </c>
      <c r="B1108" t="s">
        <v>8</v>
      </c>
      <c r="C1108" t="s">
        <v>10</v>
      </c>
      <c r="D1108">
        <v>3825.1303750269999</v>
      </c>
    </row>
    <row r="1109" spans="1:4">
      <c r="A1109" t="s">
        <v>23</v>
      </c>
      <c r="B1109" t="s">
        <v>12</v>
      </c>
      <c r="C1109" t="s">
        <v>678</v>
      </c>
      <c r="D1109">
        <v>97.281781129999999</v>
      </c>
    </row>
    <row r="1110" spans="1:4">
      <c r="A1110" t="s">
        <v>23</v>
      </c>
      <c r="B1110" t="s">
        <v>12</v>
      </c>
      <c r="C1110" t="s">
        <v>10</v>
      </c>
      <c r="D1110">
        <v>1284.4077690910001</v>
      </c>
    </row>
    <row r="1111" spans="1:4">
      <c r="A1111" t="s">
        <v>23</v>
      </c>
      <c r="B1111" t="s">
        <v>8</v>
      </c>
      <c r="C1111" t="s">
        <v>12</v>
      </c>
      <c r="D1111">
        <v>1381.689550221</v>
      </c>
    </row>
    <row r="1112" spans="1:4">
      <c r="A1112" t="s">
        <v>23</v>
      </c>
      <c r="B1112" t="s">
        <v>16</v>
      </c>
      <c r="C1112" t="s">
        <v>678</v>
      </c>
      <c r="D1112">
        <v>897.21236201299996</v>
      </c>
    </row>
    <row r="1113" spans="1:4">
      <c r="A1113" t="s">
        <v>23</v>
      </c>
      <c r="B1113" t="s">
        <v>16</v>
      </c>
      <c r="C1113" t="s">
        <v>10</v>
      </c>
      <c r="D1113">
        <v>17698.929634193999</v>
      </c>
    </row>
    <row r="1114" spans="1:4">
      <c r="A1114" t="s">
        <v>23</v>
      </c>
      <c r="B1114" t="s">
        <v>790</v>
      </c>
      <c r="C1114" t="s">
        <v>678</v>
      </c>
      <c r="D1114">
        <v>0</v>
      </c>
    </row>
    <row r="1115" spans="1:4">
      <c r="A1115" t="s">
        <v>23</v>
      </c>
      <c r="B1115" t="s">
        <v>790</v>
      </c>
      <c r="C1115" t="s">
        <v>10</v>
      </c>
      <c r="D1115">
        <v>0</v>
      </c>
    </row>
    <row r="1116" spans="1:4">
      <c r="A1116" t="s">
        <v>23</v>
      </c>
      <c r="B1116" t="s">
        <v>8</v>
      </c>
      <c r="C1116" t="s">
        <v>790</v>
      </c>
      <c r="D1116">
        <v>0</v>
      </c>
    </row>
    <row r="1117" spans="1:4">
      <c r="A1117" t="s">
        <v>23</v>
      </c>
      <c r="B1117" t="s">
        <v>8</v>
      </c>
      <c r="C1117" t="s">
        <v>6</v>
      </c>
      <c r="D1117">
        <v>7019.4803369700003</v>
      </c>
    </row>
    <row r="1118" spans="1:4">
      <c r="A1118" t="s">
        <v>23</v>
      </c>
      <c r="B1118" t="s">
        <v>15</v>
      </c>
      <c r="C1118" t="s">
        <v>6</v>
      </c>
      <c r="D1118">
        <v>6882.5529999999999</v>
      </c>
    </row>
    <row r="1119" spans="1:4">
      <c r="A1119" t="s">
        <v>23</v>
      </c>
      <c r="B1119" t="s">
        <v>5</v>
      </c>
      <c r="C1119" t="s">
        <v>6</v>
      </c>
      <c r="D1119">
        <v>5964.5039999999999</v>
      </c>
    </row>
    <row r="1120" spans="1:4">
      <c r="A1120" t="s">
        <v>23</v>
      </c>
      <c r="B1120" t="s">
        <v>15</v>
      </c>
      <c r="C1120" t="s">
        <v>5</v>
      </c>
      <c r="D1120">
        <v>5964.5039999999999</v>
      </c>
    </row>
    <row r="1121" spans="1:4">
      <c r="A1121" t="s">
        <v>23</v>
      </c>
      <c r="B1121" t="s">
        <v>6</v>
      </c>
      <c r="C1121" t="s">
        <v>8</v>
      </c>
      <c r="D1121">
        <v>0</v>
      </c>
    </row>
    <row r="1122" spans="1:4">
      <c r="A1122" t="s">
        <v>23</v>
      </c>
      <c r="B1122" t="s">
        <v>15</v>
      </c>
      <c r="C1122" t="s">
        <v>16</v>
      </c>
      <c r="D1122">
        <v>3291.14289156</v>
      </c>
    </row>
    <row r="1123" spans="1:4">
      <c r="A1123" t="s">
        <v>23</v>
      </c>
      <c r="B1123" t="s">
        <v>8</v>
      </c>
      <c r="C1123" t="s">
        <v>15</v>
      </c>
      <c r="D1123">
        <v>1.5487732000000001E-2</v>
      </c>
    </row>
    <row r="1124" spans="1:4">
      <c r="A1124" t="s">
        <v>305</v>
      </c>
      <c r="B1124" t="s">
        <v>678</v>
      </c>
      <c r="C1124" t="s">
        <v>678</v>
      </c>
      <c r="D1124">
        <v>622.319434</v>
      </c>
    </row>
    <row r="1125" spans="1:4">
      <c r="A1125" t="s">
        <v>305</v>
      </c>
      <c r="B1125" t="s">
        <v>10</v>
      </c>
      <c r="C1125" t="s">
        <v>678</v>
      </c>
      <c r="D1125">
        <v>2152.9801000000002</v>
      </c>
    </row>
    <row r="1126" spans="1:4">
      <c r="A1126" t="s">
        <v>305</v>
      </c>
      <c r="B1126" t="s">
        <v>678</v>
      </c>
      <c r="C1126" t="s">
        <v>10</v>
      </c>
      <c r="D1126">
        <v>4384.1711999999998</v>
      </c>
    </row>
    <row r="1127" spans="1:4">
      <c r="A1127" t="s">
        <v>305</v>
      </c>
      <c r="B1127" t="s">
        <v>10</v>
      </c>
      <c r="C1127" t="s">
        <v>10</v>
      </c>
      <c r="D1127">
        <v>38023.752</v>
      </c>
    </row>
    <row r="1128" spans="1:4">
      <c r="A1128" t="s">
        <v>305</v>
      </c>
      <c r="B1128" t="s">
        <v>11</v>
      </c>
      <c r="C1128" t="s">
        <v>678</v>
      </c>
      <c r="D1128">
        <v>132.14569336400001</v>
      </c>
    </row>
    <row r="1129" spans="1:4">
      <c r="A1129" t="s">
        <v>305</v>
      </c>
      <c r="B1129" t="s">
        <v>11</v>
      </c>
      <c r="C1129" t="s">
        <v>10</v>
      </c>
      <c r="D1129">
        <v>2718.6849898</v>
      </c>
    </row>
    <row r="1130" spans="1:4">
      <c r="A1130" t="s">
        <v>305</v>
      </c>
      <c r="B1130" t="s">
        <v>678</v>
      </c>
      <c r="C1130" t="s">
        <v>6</v>
      </c>
      <c r="D1130">
        <v>4144.7629999999999</v>
      </c>
    </row>
    <row r="1131" spans="1:4">
      <c r="A1131" t="s">
        <v>305</v>
      </c>
      <c r="B1131" t="s">
        <v>10</v>
      </c>
      <c r="C1131" t="s">
        <v>6</v>
      </c>
      <c r="D1131">
        <v>36528.896999999997</v>
      </c>
    </row>
    <row r="1132" spans="1:4">
      <c r="A1132" t="s">
        <v>305</v>
      </c>
      <c r="B1132" t="s">
        <v>11</v>
      </c>
      <c r="C1132" t="s">
        <v>6</v>
      </c>
      <c r="D1132">
        <v>2399.8618164</v>
      </c>
    </row>
    <row r="1133" spans="1:4">
      <c r="A1133" t="s">
        <v>305</v>
      </c>
      <c r="B1133" t="s">
        <v>678</v>
      </c>
      <c r="C1133" t="s">
        <v>8</v>
      </c>
      <c r="D1133">
        <v>0.22154967</v>
      </c>
    </row>
    <row r="1134" spans="1:4">
      <c r="A1134" t="s">
        <v>305</v>
      </c>
      <c r="B1134" t="s">
        <v>10</v>
      </c>
      <c r="C1134" t="s">
        <v>8</v>
      </c>
      <c r="D1134">
        <v>7474.7871999999998</v>
      </c>
    </row>
    <row r="1135" spans="1:4">
      <c r="A1135" t="s">
        <v>305</v>
      </c>
      <c r="B1135" t="s">
        <v>11</v>
      </c>
      <c r="C1135" t="s">
        <v>8</v>
      </c>
      <c r="D1135">
        <v>-9.9043180000000005E-3</v>
      </c>
    </row>
    <row r="1136" spans="1:4">
      <c r="A1136" t="s">
        <v>305</v>
      </c>
      <c r="B1136" t="s">
        <v>678</v>
      </c>
      <c r="C1136" t="s">
        <v>15</v>
      </c>
      <c r="D1136">
        <v>76.517206999999999</v>
      </c>
    </row>
    <row r="1137" spans="1:4">
      <c r="A1137" t="s">
        <v>305</v>
      </c>
      <c r="B1137" t="s">
        <v>10</v>
      </c>
      <c r="C1137" t="s">
        <v>15</v>
      </c>
      <c r="D1137">
        <v>15788.596299999999</v>
      </c>
    </row>
    <row r="1138" spans="1:4">
      <c r="A1138" t="s">
        <v>305</v>
      </c>
      <c r="B1138" t="s">
        <v>11</v>
      </c>
      <c r="C1138" t="s">
        <v>15</v>
      </c>
      <c r="D1138">
        <v>15.414013690000001</v>
      </c>
    </row>
    <row r="1139" spans="1:4">
      <c r="A1139" t="s">
        <v>305</v>
      </c>
      <c r="B1139" t="s">
        <v>8</v>
      </c>
      <c r="C1139" t="s">
        <v>11</v>
      </c>
      <c r="D1139">
        <v>5266.0966089359999</v>
      </c>
    </row>
    <row r="1140" spans="1:4">
      <c r="A1140" t="s">
        <v>305</v>
      </c>
      <c r="B1140" t="s">
        <v>678</v>
      </c>
      <c r="C1140" t="s">
        <v>7</v>
      </c>
      <c r="D1140">
        <v>0</v>
      </c>
    </row>
    <row r="1141" spans="1:4">
      <c r="A1141" t="s">
        <v>305</v>
      </c>
      <c r="B1141" t="s">
        <v>10</v>
      </c>
      <c r="C1141" t="s">
        <v>7</v>
      </c>
      <c r="D1141">
        <v>0</v>
      </c>
    </row>
    <row r="1142" spans="1:4">
      <c r="A1142" t="s">
        <v>305</v>
      </c>
      <c r="B1142" t="s">
        <v>7</v>
      </c>
      <c r="C1142" t="s">
        <v>8</v>
      </c>
      <c r="D1142">
        <v>0</v>
      </c>
    </row>
    <row r="1143" spans="1:4">
      <c r="A1143" t="s">
        <v>305</v>
      </c>
      <c r="B1143" t="s">
        <v>678</v>
      </c>
      <c r="C1143" t="s">
        <v>16</v>
      </c>
      <c r="D1143">
        <v>554.11431386699996</v>
      </c>
    </row>
    <row r="1144" spans="1:4">
      <c r="A1144" t="s">
        <v>305</v>
      </c>
      <c r="B1144" t="s">
        <v>10</v>
      </c>
      <c r="C1144" t="s">
        <v>16</v>
      </c>
      <c r="D1144">
        <v>7286.0046633680004</v>
      </c>
    </row>
    <row r="1145" spans="1:4">
      <c r="A1145" t="s">
        <v>305</v>
      </c>
      <c r="B1145" t="s">
        <v>678</v>
      </c>
      <c r="C1145" t="s">
        <v>17</v>
      </c>
      <c r="D1145">
        <v>0</v>
      </c>
    </row>
    <row r="1146" spans="1:4">
      <c r="A1146" t="s">
        <v>305</v>
      </c>
      <c r="B1146" t="s">
        <v>10</v>
      </c>
      <c r="C1146" t="s">
        <v>17</v>
      </c>
      <c r="D1146">
        <v>44.127270000000003</v>
      </c>
    </row>
    <row r="1147" spans="1:4">
      <c r="A1147" t="s">
        <v>305</v>
      </c>
      <c r="B1147" t="s">
        <v>17</v>
      </c>
      <c r="C1147" t="s">
        <v>16</v>
      </c>
      <c r="D1147">
        <v>44.127270000000003</v>
      </c>
    </row>
    <row r="1148" spans="1:4">
      <c r="A1148" t="s">
        <v>305</v>
      </c>
      <c r="B1148" t="s">
        <v>14</v>
      </c>
      <c r="C1148" t="s">
        <v>678</v>
      </c>
      <c r="D1148">
        <v>2695.768</v>
      </c>
    </row>
    <row r="1149" spans="1:4">
      <c r="A1149" t="s">
        <v>305</v>
      </c>
      <c r="B1149" t="s">
        <v>14</v>
      </c>
      <c r="C1149" t="s">
        <v>10</v>
      </c>
      <c r="D1149">
        <v>14004.86</v>
      </c>
    </row>
    <row r="1150" spans="1:4">
      <c r="A1150" t="s">
        <v>305</v>
      </c>
      <c r="B1150" t="s">
        <v>6</v>
      </c>
      <c r="C1150" t="s">
        <v>14</v>
      </c>
      <c r="D1150">
        <v>16700.628000000001</v>
      </c>
    </row>
    <row r="1151" spans="1:4">
      <c r="A1151" t="s">
        <v>305</v>
      </c>
      <c r="B1151" t="s">
        <v>8</v>
      </c>
      <c r="C1151" t="s">
        <v>14</v>
      </c>
      <c r="D1151">
        <v>0</v>
      </c>
    </row>
    <row r="1152" spans="1:4">
      <c r="A1152" t="s">
        <v>305</v>
      </c>
      <c r="B1152" t="s">
        <v>9</v>
      </c>
      <c r="C1152" t="s">
        <v>678</v>
      </c>
      <c r="D1152">
        <v>1840.3004000000001</v>
      </c>
    </row>
    <row r="1153" spans="1:4">
      <c r="A1153" t="s">
        <v>305</v>
      </c>
      <c r="B1153" t="s">
        <v>9</v>
      </c>
      <c r="C1153" t="s">
        <v>10</v>
      </c>
      <c r="D1153">
        <v>258.75790000000001</v>
      </c>
    </row>
    <row r="1154" spans="1:4">
      <c r="A1154" t="s">
        <v>305</v>
      </c>
      <c r="B1154" t="s">
        <v>6</v>
      </c>
      <c r="C1154" t="s">
        <v>9</v>
      </c>
      <c r="D1154">
        <v>2099.0583000000001</v>
      </c>
    </row>
    <row r="1155" spans="1:4">
      <c r="A1155" t="s">
        <v>305</v>
      </c>
      <c r="B1155" t="s">
        <v>13</v>
      </c>
      <c r="C1155" t="s">
        <v>678</v>
      </c>
      <c r="D1155">
        <v>1775.64</v>
      </c>
    </row>
    <row r="1156" spans="1:4">
      <c r="A1156" t="s">
        <v>305</v>
      </c>
      <c r="B1156" t="s">
        <v>13</v>
      </c>
      <c r="C1156" t="s">
        <v>10</v>
      </c>
      <c r="D1156">
        <v>36556.620000000003</v>
      </c>
    </row>
    <row r="1157" spans="1:4">
      <c r="A1157" t="s">
        <v>305</v>
      </c>
      <c r="B1157" t="s">
        <v>6</v>
      </c>
      <c r="C1157" t="s">
        <v>13</v>
      </c>
      <c r="D1157">
        <v>38332.26</v>
      </c>
    </row>
    <row r="1158" spans="1:4">
      <c r="A1158" t="s">
        <v>305</v>
      </c>
      <c r="B1158" t="s">
        <v>8</v>
      </c>
      <c r="C1158" t="s">
        <v>678</v>
      </c>
      <c r="D1158">
        <v>30.412816072999998</v>
      </c>
    </row>
    <row r="1159" spans="1:4">
      <c r="A1159" t="s">
        <v>305</v>
      </c>
      <c r="B1159" t="s">
        <v>8</v>
      </c>
      <c r="C1159" t="s">
        <v>10</v>
      </c>
      <c r="D1159">
        <v>1150.8388435679999</v>
      </c>
    </row>
    <row r="1160" spans="1:4">
      <c r="A1160" t="s">
        <v>305</v>
      </c>
      <c r="B1160" t="s">
        <v>12</v>
      </c>
      <c r="C1160" t="s">
        <v>678</v>
      </c>
      <c r="D1160">
        <v>-22.213193909000001</v>
      </c>
    </row>
    <row r="1161" spans="1:4">
      <c r="A1161" t="s">
        <v>305</v>
      </c>
      <c r="B1161" t="s">
        <v>12</v>
      </c>
      <c r="C1161" t="s">
        <v>10</v>
      </c>
      <c r="D1161">
        <v>1210.619281494</v>
      </c>
    </row>
    <row r="1162" spans="1:4">
      <c r="A1162" t="s">
        <v>305</v>
      </c>
      <c r="B1162" t="s">
        <v>8</v>
      </c>
      <c r="C1162" t="s">
        <v>12</v>
      </c>
      <c r="D1162">
        <v>1188.406087585</v>
      </c>
    </row>
    <row r="1163" spans="1:4">
      <c r="A1163" t="s">
        <v>305</v>
      </c>
      <c r="B1163" t="s">
        <v>16</v>
      </c>
      <c r="C1163" t="s">
        <v>678</v>
      </c>
      <c r="D1163">
        <v>554.75331949199995</v>
      </c>
    </row>
    <row r="1164" spans="1:4">
      <c r="A1164" t="s">
        <v>305</v>
      </c>
      <c r="B1164" t="s">
        <v>16</v>
      </c>
      <c r="C1164" t="s">
        <v>10</v>
      </c>
      <c r="D1164">
        <v>8990.8409397119995</v>
      </c>
    </row>
    <row r="1165" spans="1:4">
      <c r="A1165" t="s">
        <v>305</v>
      </c>
      <c r="B1165" t="s">
        <v>790</v>
      </c>
      <c r="C1165" t="s">
        <v>678</v>
      </c>
      <c r="D1165">
        <v>0</v>
      </c>
    </row>
    <row r="1166" spans="1:4">
      <c r="A1166" t="s">
        <v>305</v>
      </c>
      <c r="B1166" t="s">
        <v>790</v>
      </c>
      <c r="C1166" t="s">
        <v>10</v>
      </c>
      <c r="D1166">
        <v>0</v>
      </c>
    </row>
    <row r="1167" spans="1:4">
      <c r="A1167" t="s">
        <v>305</v>
      </c>
      <c r="B1167" t="s">
        <v>8</v>
      </c>
      <c r="C1167" t="s">
        <v>790</v>
      </c>
      <c r="D1167">
        <v>0</v>
      </c>
    </row>
    <row r="1168" spans="1:4">
      <c r="A1168" t="s">
        <v>305</v>
      </c>
      <c r="B1168" t="s">
        <v>8</v>
      </c>
      <c r="C1168" t="s">
        <v>6</v>
      </c>
      <c r="D1168">
        <v>-160.7485164</v>
      </c>
    </row>
    <row r="1169" spans="1:5">
      <c r="A1169" t="s">
        <v>305</v>
      </c>
      <c r="B1169" t="s">
        <v>15</v>
      </c>
      <c r="C1169" t="s">
        <v>6</v>
      </c>
      <c r="D1169">
        <v>7316.0839999999998</v>
      </c>
    </row>
    <row r="1170" spans="1:5">
      <c r="A1170" t="s">
        <v>305</v>
      </c>
      <c r="B1170" t="s">
        <v>5</v>
      </c>
      <c r="C1170" t="s">
        <v>6</v>
      </c>
      <c r="D1170">
        <v>6903.0889999999999</v>
      </c>
    </row>
    <row r="1171" spans="1:5">
      <c r="A1171" t="s">
        <v>305</v>
      </c>
      <c r="B1171" t="s">
        <v>15</v>
      </c>
      <c r="C1171" t="s">
        <v>5</v>
      </c>
      <c r="D1171">
        <v>6903.0889999999999</v>
      </c>
    </row>
    <row r="1172" spans="1:5">
      <c r="A1172" t="s">
        <v>305</v>
      </c>
      <c r="B1172" t="s">
        <v>6</v>
      </c>
      <c r="C1172" t="s">
        <v>8</v>
      </c>
      <c r="D1172">
        <v>0</v>
      </c>
    </row>
    <row r="1173" spans="1:5">
      <c r="A1173" t="s">
        <v>305</v>
      </c>
      <c r="B1173" t="s">
        <v>15</v>
      </c>
      <c r="C1173" t="s">
        <v>16</v>
      </c>
      <c r="D1173">
        <v>1661.348011969</v>
      </c>
    </row>
    <row r="1174" spans="1:5">
      <c r="A1174" t="s">
        <v>305</v>
      </c>
      <c r="B1174" t="s">
        <v>15</v>
      </c>
      <c r="C1174" t="s">
        <v>8</v>
      </c>
      <c r="D1174">
        <v>6.9944100000000004E-3</v>
      </c>
    </row>
    <row r="1175" spans="1:5">
      <c r="A1175" t="s">
        <v>47</v>
      </c>
      <c r="B1175" t="s">
        <v>678</v>
      </c>
      <c r="C1175" t="s">
        <v>678</v>
      </c>
      <c r="D1175">
        <v>691.58</v>
      </c>
    </row>
    <row r="1176" spans="1:5">
      <c r="A1176" t="s">
        <v>47</v>
      </c>
      <c r="B1176" t="s">
        <v>10</v>
      </c>
      <c r="C1176" t="s">
        <v>678</v>
      </c>
      <c r="D1176">
        <v>1801.0983000000001</v>
      </c>
    </row>
    <row r="1177" spans="1:5">
      <c r="A1177" t="s">
        <v>47</v>
      </c>
      <c r="B1177" t="s">
        <v>678</v>
      </c>
      <c r="C1177" t="s">
        <v>10</v>
      </c>
      <c r="D1177">
        <v>4333.5720000000001</v>
      </c>
    </row>
    <row r="1178" spans="1:5">
      <c r="A1178" t="s">
        <v>47</v>
      </c>
      <c r="B1178" t="s">
        <v>10</v>
      </c>
      <c r="C1178" t="s">
        <v>10</v>
      </c>
      <c r="D1178">
        <v>56888.36</v>
      </c>
      <c r="E1178" s="1"/>
    </row>
    <row r="1179" spans="1:5">
      <c r="A1179" t="s">
        <v>47</v>
      </c>
      <c r="B1179" t="s">
        <v>11</v>
      </c>
      <c r="C1179" t="s">
        <v>678</v>
      </c>
      <c r="D1179">
        <v>33.573984289999999</v>
      </c>
    </row>
    <row r="1180" spans="1:5">
      <c r="A1180" t="s">
        <v>47</v>
      </c>
      <c r="B1180" t="s">
        <v>11</v>
      </c>
      <c r="C1180" t="s">
        <v>10</v>
      </c>
      <c r="D1180">
        <v>1011.3260728</v>
      </c>
    </row>
    <row r="1181" spans="1:5">
      <c r="A1181" t="s">
        <v>47</v>
      </c>
      <c r="B1181" t="s">
        <v>678</v>
      </c>
      <c r="C1181" t="s">
        <v>6</v>
      </c>
      <c r="D1181">
        <v>3435.7264</v>
      </c>
    </row>
    <row r="1182" spans="1:5">
      <c r="A1182" t="s">
        <v>47</v>
      </c>
      <c r="B1182" t="s">
        <v>10</v>
      </c>
      <c r="C1182" t="s">
        <v>6</v>
      </c>
      <c r="D1182">
        <v>53147.22</v>
      </c>
      <c r="E1182" s="1"/>
    </row>
    <row r="1183" spans="1:5">
      <c r="A1183" t="s">
        <v>47</v>
      </c>
      <c r="B1183" t="s">
        <v>11</v>
      </c>
      <c r="C1183" t="s">
        <v>6</v>
      </c>
      <c r="D1183">
        <v>1902.3113757880001</v>
      </c>
    </row>
    <row r="1184" spans="1:5">
      <c r="A1184" t="s">
        <v>47</v>
      </c>
      <c r="B1184" t="s">
        <v>678</v>
      </c>
      <c r="C1184" t="s">
        <v>8</v>
      </c>
      <c r="D1184">
        <v>7.1898695999999997</v>
      </c>
    </row>
    <row r="1185" spans="1:5">
      <c r="A1185" t="s">
        <v>47</v>
      </c>
      <c r="B1185" t="s">
        <v>10</v>
      </c>
      <c r="C1185" t="s">
        <v>8</v>
      </c>
      <c r="D1185">
        <v>5443.3484900000003</v>
      </c>
    </row>
    <row r="1186" spans="1:5">
      <c r="A1186" t="s">
        <v>47</v>
      </c>
      <c r="B1186" t="s">
        <v>11</v>
      </c>
      <c r="C1186" t="s">
        <v>8</v>
      </c>
      <c r="D1186">
        <v>19.766804093000001</v>
      </c>
    </row>
    <row r="1187" spans="1:5">
      <c r="A1187" t="s">
        <v>47</v>
      </c>
      <c r="B1187" t="s">
        <v>678</v>
      </c>
      <c r="C1187" t="s">
        <v>15</v>
      </c>
      <c r="D1187">
        <v>276.06889999999999</v>
      </c>
    </row>
    <row r="1188" spans="1:5">
      <c r="A1188" t="s">
        <v>47</v>
      </c>
      <c r="B1188" t="s">
        <v>10</v>
      </c>
      <c r="C1188" t="s">
        <v>15</v>
      </c>
      <c r="D1188">
        <v>14465.63</v>
      </c>
    </row>
    <row r="1189" spans="1:5">
      <c r="A1189" t="s">
        <v>47</v>
      </c>
      <c r="B1189" t="s">
        <v>11</v>
      </c>
      <c r="C1189" t="s">
        <v>15</v>
      </c>
      <c r="D1189">
        <v>56.506042901000001</v>
      </c>
    </row>
    <row r="1190" spans="1:5">
      <c r="A1190" t="s">
        <v>47</v>
      </c>
      <c r="B1190" t="s">
        <v>8</v>
      </c>
      <c r="C1190" t="s">
        <v>11</v>
      </c>
      <c r="D1190">
        <v>3023.4842798720001</v>
      </c>
    </row>
    <row r="1191" spans="1:5">
      <c r="A1191" t="s">
        <v>47</v>
      </c>
      <c r="B1191" t="s">
        <v>678</v>
      </c>
      <c r="C1191" t="s">
        <v>7</v>
      </c>
      <c r="D1191">
        <v>0</v>
      </c>
    </row>
    <row r="1192" spans="1:5">
      <c r="A1192" t="s">
        <v>47</v>
      </c>
      <c r="B1192" t="s">
        <v>10</v>
      </c>
      <c r="C1192" t="s">
        <v>7</v>
      </c>
      <c r="D1192">
        <v>0</v>
      </c>
    </row>
    <row r="1193" spans="1:5">
      <c r="A1193" t="s">
        <v>47</v>
      </c>
      <c r="B1193" t="s">
        <v>7</v>
      </c>
      <c r="C1193" t="s">
        <v>8</v>
      </c>
      <c r="D1193">
        <v>0</v>
      </c>
    </row>
    <row r="1194" spans="1:5">
      <c r="A1194" t="s">
        <v>47</v>
      </c>
      <c r="B1194" t="s">
        <v>678</v>
      </c>
      <c r="C1194" t="s">
        <v>16</v>
      </c>
      <c r="D1194">
        <v>303.55978154399997</v>
      </c>
    </row>
    <row r="1195" spans="1:5">
      <c r="A1195" t="s">
        <v>47</v>
      </c>
      <c r="B1195" t="s">
        <v>10</v>
      </c>
      <c r="C1195" t="s">
        <v>16</v>
      </c>
      <c r="D1195">
        <v>25781.640135411999</v>
      </c>
    </row>
    <row r="1196" spans="1:5">
      <c r="A1196" t="s">
        <v>47</v>
      </c>
      <c r="B1196" t="s">
        <v>678</v>
      </c>
      <c r="C1196" t="s">
        <v>17</v>
      </c>
      <c r="D1196">
        <v>0</v>
      </c>
    </row>
    <row r="1197" spans="1:5">
      <c r="A1197" t="s">
        <v>47</v>
      </c>
      <c r="B1197" t="s">
        <v>10</v>
      </c>
      <c r="C1197" t="s">
        <v>17</v>
      </c>
      <c r="D1197">
        <v>86.597949999999997</v>
      </c>
    </row>
    <row r="1198" spans="1:5">
      <c r="A1198" t="s">
        <v>47</v>
      </c>
      <c r="B1198" t="s">
        <v>17</v>
      </c>
      <c r="C1198" t="s">
        <v>16</v>
      </c>
      <c r="D1198">
        <v>86.597949999999997</v>
      </c>
    </row>
    <row r="1199" spans="1:5">
      <c r="A1199" t="s">
        <v>47</v>
      </c>
      <c r="B1199" t="s">
        <v>14</v>
      </c>
      <c r="C1199" t="s">
        <v>678</v>
      </c>
      <c r="D1199">
        <v>2508.1010000000001</v>
      </c>
    </row>
    <row r="1200" spans="1:5">
      <c r="A1200" t="s">
        <v>47</v>
      </c>
      <c r="B1200" t="s">
        <v>14</v>
      </c>
      <c r="C1200" t="s">
        <v>10</v>
      </c>
      <c r="D1200">
        <v>28774.11</v>
      </c>
      <c r="E1200" s="1"/>
    </row>
    <row r="1201" spans="1:5">
      <c r="A1201" t="s">
        <v>47</v>
      </c>
      <c r="B1201" t="s">
        <v>6</v>
      </c>
      <c r="C1201" t="s">
        <v>14</v>
      </c>
      <c r="D1201">
        <v>31282.210999999999</v>
      </c>
      <c r="E1201" s="1"/>
    </row>
    <row r="1202" spans="1:5">
      <c r="A1202" t="s">
        <v>47</v>
      </c>
      <c r="B1202" t="s">
        <v>8</v>
      </c>
      <c r="C1202" t="s">
        <v>14</v>
      </c>
      <c r="D1202">
        <v>0</v>
      </c>
    </row>
    <row r="1203" spans="1:5">
      <c r="A1203" t="s">
        <v>47</v>
      </c>
      <c r="B1203" t="s">
        <v>9</v>
      </c>
      <c r="C1203" t="s">
        <v>678</v>
      </c>
      <c r="D1203">
        <v>1572.8041000000001</v>
      </c>
    </row>
    <row r="1204" spans="1:5">
      <c r="A1204" t="s">
        <v>47</v>
      </c>
      <c r="B1204" t="s">
        <v>9</v>
      </c>
      <c r="C1204" t="s">
        <v>10</v>
      </c>
      <c r="D1204">
        <v>4009.6320000000001</v>
      </c>
    </row>
    <row r="1205" spans="1:5">
      <c r="A1205" t="s">
        <v>47</v>
      </c>
      <c r="B1205" t="s">
        <v>6</v>
      </c>
      <c r="C1205" t="s">
        <v>9</v>
      </c>
      <c r="D1205">
        <v>5582.4360999999999</v>
      </c>
    </row>
    <row r="1206" spans="1:5">
      <c r="A1206" t="s">
        <v>47</v>
      </c>
      <c r="B1206" t="s">
        <v>13</v>
      </c>
      <c r="C1206" t="s">
        <v>678</v>
      </c>
      <c r="D1206">
        <v>1549.8420000000001</v>
      </c>
    </row>
    <row r="1207" spans="1:5">
      <c r="A1207" t="s">
        <v>47</v>
      </c>
      <c r="B1207" t="s">
        <v>13</v>
      </c>
      <c r="C1207" t="s">
        <v>10</v>
      </c>
      <c r="D1207">
        <v>45080.06</v>
      </c>
      <c r="E1207" s="1"/>
    </row>
    <row r="1208" spans="1:5">
      <c r="A1208" t="s">
        <v>47</v>
      </c>
      <c r="B1208" t="s">
        <v>6</v>
      </c>
      <c r="C1208" t="s">
        <v>13</v>
      </c>
      <c r="D1208">
        <v>46629.902000000002</v>
      </c>
      <c r="E1208" s="1"/>
    </row>
    <row r="1209" spans="1:5">
      <c r="A1209" t="s">
        <v>47</v>
      </c>
      <c r="B1209" t="s">
        <v>8</v>
      </c>
      <c r="C1209" t="s">
        <v>678</v>
      </c>
      <c r="D1209">
        <v>3.6254000000000002E-5</v>
      </c>
    </row>
    <row r="1210" spans="1:5">
      <c r="A1210" t="s">
        <v>47</v>
      </c>
      <c r="B1210" t="s">
        <v>8</v>
      </c>
      <c r="C1210" t="s">
        <v>10</v>
      </c>
      <c r="D1210">
        <v>4.0126119999999996E-3</v>
      </c>
      <c r="E1210" s="1"/>
    </row>
    <row r="1211" spans="1:5">
      <c r="A1211" t="s">
        <v>47</v>
      </c>
      <c r="B1211" t="s">
        <v>12</v>
      </c>
      <c r="C1211" t="s">
        <v>678</v>
      </c>
      <c r="D1211">
        <v>96.074741243999995</v>
      </c>
    </row>
    <row r="1212" spans="1:5">
      <c r="A1212" t="s">
        <v>47</v>
      </c>
      <c r="B1212" t="s">
        <v>12</v>
      </c>
      <c r="C1212" t="s">
        <v>10</v>
      </c>
      <c r="D1212">
        <v>1916.1923540780001</v>
      </c>
    </row>
    <row r="1213" spans="1:5">
      <c r="A1213" t="s">
        <v>47</v>
      </c>
      <c r="B1213" t="s">
        <v>8</v>
      </c>
      <c r="C1213" t="s">
        <v>12</v>
      </c>
      <c r="D1213">
        <v>2012.2670953219999</v>
      </c>
    </row>
    <row r="1214" spans="1:5">
      <c r="A1214" t="s">
        <v>47</v>
      </c>
      <c r="B1214" t="s">
        <v>16</v>
      </c>
      <c r="C1214" t="s">
        <v>678</v>
      </c>
      <c r="D1214">
        <v>794.62279011600003</v>
      </c>
    </row>
    <row r="1215" spans="1:5">
      <c r="A1215" t="s">
        <v>47</v>
      </c>
      <c r="B1215" t="s">
        <v>16</v>
      </c>
      <c r="C1215" t="s">
        <v>10</v>
      </c>
      <c r="D1215">
        <v>15600.637495843999</v>
      </c>
    </row>
    <row r="1216" spans="1:5">
      <c r="A1216" t="s">
        <v>47</v>
      </c>
      <c r="B1216" t="s">
        <v>790</v>
      </c>
      <c r="C1216" t="s">
        <v>678</v>
      </c>
      <c r="D1216">
        <v>0</v>
      </c>
    </row>
    <row r="1217" spans="1:5">
      <c r="A1217" t="s">
        <v>47</v>
      </c>
      <c r="B1217" t="s">
        <v>790</v>
      </c>
      <c r="C1217" t="s">
        <v>10</v>
      </c>
      <c r="D1217">
        <v>0</v>
      </c>
    </row>
    <row r="1218" spans="1:5">
      <c r="A1218" t="s">
        <v>47</v>
      </c>
      <c r="B1218" t="s">
        <v>8</v>
      </c>
      <c r="C1218" t="s">
        <v>790</v>
      </c>
      <c r="D1218">
        <v>0</v>
      </c>
    </row>
    <row r="1219" spans="1:5">
      <c r="A1219" t="s">
        <v>47</v>
      </c>
      <c r="B1219" t="s">
        <v>8</v>
      </c>
      <c r="C1219" t="s">
        <v>6</v>
      </c>
      <c r="D1219">
        <v>434.54132421200001</v>
      </c>
    </row>
    <row r="1220" spans="1:5">
      <c r="A1220" t="s">
        <v>47</v>
      </c>
      <c r="B1220" t="s">
        <v>15</v>
      </c>
      <c r="C1220" t="s">
        <v>6</v>
      </c>
      <c r="D1220">
        <v>14286.99</v>
      </c>
    </row>
    <row r="1221" spans="1:5">
      <c r="A1221" t="s">
        <v>47</v>
      </c>
      <c r="B1221" t="s">
        <v>5</v>
      </c>
      <c r="C1221" t="s">
        <v>6</v>
      </c>
      <c r="D1221">
        <v>10287.76</v>
      </c>
    </row>
    <row r="1222" spans="1:5">
      <c r="A1222" t="s">
        <v>47</v>
      </c>
      <c r="B1222" t="s">
        <v>15</v>
      </c>
      <c r="C1222" t="s">
        <v>5</v>
      </c>
      <c r="D1222">
        <v>10287.76</v>
      </c>
    </row>
    <row r="1223" spans="1:5">
      <c r="A1223" t="s">
        <v>47</v>
      </c>
      <c r="B1223" t="s">
        <v>6</v>
      </c>
      <c r="C1223" t="s">
        <v>8</v>
      </c>
      <c r="D1223">
        <v>0</v>
      </c>
    </row>
    <row r="1224" spans="1:5">
      <c r="A1224" t="s">
        <v>47</v>
      </c>
      <c r="B1224" t="s">
        <v>16</v>
      </c>
      <c r="C1224" t="s">
        <v>15</v>
      </c>
      <c r="D1224">
        <v>9776.5375809969992</v>
      </c>
    </row>
    <row r="1225" spans="1:5">
      <c r="A1225" t="s">
        <v>47</v>
      </c>
      <c r="B1225" t="s">
        <v>8</v>
      </c>
      <c r="C1225" t="s">
        <v>15</v>
      </c>
      <c r="D1225">
        <v>8.4154209999999993E-3</v>
      </c>
      <c r="E1225" s="1"/>
    </row>
    <row r="1226" spans="1:5">
      <c r="A1226" t="s">
        <v>793</v>
      </c>
      <c r="B1226" t="s">
        <v>678</v>
      </c>
      <c r="C1226" t="s">
        <v>678</v>
      </c>
      <c r="D1226">
        <v>300.92674499999998</v>
      </c>
    </row>
    <row r="1227" spans="1:5">
      <c r="A1227" t="s">
        <v>793</v>
      </c>
      <c r="B1227" t="s">
        <v>10</v>
      </c>
      <c r="C1227" t="s">
        <v>678</v>
      </c>
      <c r="D1227">
        <v>1675.5636</v>
      </c>
    </row>
    <row r="1228" spans="1:5">
      <c r="A1228" t="s">
        <v>793</v>
      </c>
      <c r="B1228" t="s">
        <v>678</v>
      </c>
      <c r="C1228" t="s">
        <v>10</v>
      </c>
      <c r="D1228">
        <v>2225.9539</v>
      </c>
    </row>
    <row r="1229" spans="1:5">
      <c r="A1229" t="s">
        <v>793</v>
      </c>
      <c r="B1229" t="s">
        <v>10</v>
      </c>
      <c r="C1229" t="s">
        <v>10</v>
      </c>
      <c r="D1229">
        <v>17809.967000000001</v>
      </c>
      <c r="E1229" s="1"/>
    </row>
    <row r="1230" spans="1:5">
      <c r="A1230" t="s">
        <v>793</v>
      </c>
      <c r="B1230" t="s">
        <v>11</v>
      </c>
      <c r="C1230" t="s">
        <v>678</v>
      </c>
      <c r="D1230">
        <v>231.52795118700001</v>
      </c>
    </row>
    <row r="1231" spans="1:5">
      <c r="A1231" t="s">
        <v>793</v>
      </c>
      <c r="B1231" t="s">
        <v>11</v>
      </c>
      <c r="C1231" t="s">
        <v>10</v>
      </c>
      <c r="D1231">
        <v>2150.5896548999999</v>
      </c>
    </row>
    <row r="1232" spans="1:5">
      <c r="A1232" t="s">
        <v>793</v>
      </c>
      <c r="B1232" t="s">
        <v>678</v>
      </c>
      <c r="C1232" t="s">
        <v>6</v>
      </c>
      <c r="D1232">
        <v>1819.4693299999999</v>
      </c>
    </row>
    <row r="1233" spans="1:5">
      <c r="A1233" t="s">
        <v>793</v>
      </c>
      <c r="B1233" t="s">
        <v>10</v>
      </c>
      <c r="C1233" t="s">
        <v>6</v>
      </c>
      <c r="D1233">
        <v>16952.183000000001</v>
      </c>
      <c r="E1233" s="1"/>
    </row>
    <row r="1234" spans="1:5">
      <c r="A1234" t="s">
        <v>793</v>
      </c>
      <c r="B1234" t="s">
        <v>11</v>
      </c>
      <c r="C1234" t="s">
        <v>6</v>
      </c>
      <c r="D1234">
        <v>485.00403399999999</v>
      </c>
    </row>
    <row r="1235" spans="1:5">
      <c r="A1235" t="s">
        <v>793</v>
      </c>
      <c r="B1235" t="s">
        <v>678</v>
      </c>
      <c r="C1235" t="s">
        <v>8</v>
      </c>
      <c r="D1235">
        <v>0.27767715799999998</v>
      </c>
    </row>
    <row r="1236" spans="1:5">
      <c r="A1236" t="s">
        <v>793</v>
      </c>
      <c r="B1236" t="s">
        <v>10</v>
      </c>
      <c r="C1236" t="s">
        <v>8</v>
      </c>
      <c r="D1236">
        <v>3499.7448800000002</v>
      </c>
      <c r="E1236" s="1"/>
    </row>
    <row r="1237" spans="1:5">
      <c r="A1237" t="s">
        <v>793</v>
      </c>
      <c r="B1237" t="s">
        <v>11</v>
      </c>
      <c r="C1237" t="s">
        <v>8</v>
      </c>
      <c r="D1237">
        <v>-4.9564580000000004E-3</v>
      </c>
    </row>
    <row r="1238" spans="1:5">
      <c r="A1238" t="s">
        <v>793</v>
      </c>
      <c r="B1238" t="s">
        <v>678</v>
      </c>
      <c r="C1238" t="s">
        <v>15</v>
      </c>
      <c r="D1238">
        <v>23.334375999999999</v>
      </c>
    </row>
    <row r="1239" spans="1:5">
      <c r="A1239" t="s">
        <v>793</v>
      </c>
      <c r="B1239" t="s">
        <v>10</v>
      </c>
      <c r="C1239" t="s">
        <v>15</v>
      </c>
      <c r="D1239">
        <v>4955.3975</v>
      </c>
      <c r="E1239" s="1"/>
    </row>
    <row r="1240" spans="1:5">
      <c r="A1240" t="s">
        <v>793</v>
      </c>
      <c r="B1240" t="s">
        <v>11</v>
      </c>
      <c r="C1240" t="s">
        <v>15</v>
      </c>
      <c r="D1240">
        <v>155.29104626200001</v>
      </c>
    </row>
    <row r="1241" spans="1:5">
      <c r="A1241" t="s">
        <v>793</v>
      </c>
      <c r="B1241" t="s">
        <v>8</v>
      </c>
      <c r="C1241" t="s">
        <v>11</v>
      </c>
      <c r="D1241">
        <v>3022.4077298910001</v>
      </c>
    </row>
    <row r="1242" spans="1:5">
      <c r="A1242" t="s">
        <v>793</v>
      </c>
      <c r="B1242" t="s">
        <v>678</v>
      </c>
      <c r="C1242" t="s">
        <v>7</v>
      </c>
      <c r="D1242">
        <v>0</v>
      </c>
    </row>
    <row r="1243" spans="1:5">
      <c r="A1243" t="s">
        <v>793</v>
      </c>
      <c r="B1243" t="s">
        <v>10</v>
      </c>
      <c r="C1243" t="s">
        <v>7</v>
      </c>
      <c r="D1243">
        <v>0</v>
      </c>
    </row>
    <row r="1244" spans="1:5">
      <c r="A1244" t="s">
        <v>793</v>
      </c>
      <c r="B1244" t="s">
        <v>7</v>
      </c>
      <c r="C1244" t="s">
        <v>8</v>
      </c>
      <c r="D1244">
        <v>0</v>
      </c>
    </row>
    <row r="1245" spans="1:5">
      <c r="A1245" t="s">
        <v>793</v>
      </c>
      <c r="B1245" t="s">
        <v>678</v>
      </c>
      <c r="C1245" t="s">
        <v>16</v>
      </c>
      <c r="D1245">
        <v>1742.3767050849999</v>
      </c>
    </row>
    <row r="1246" spans="1:5">
      <c r="A1246" t="s">
        <v>793</v>
      </c>
      <c r="B1246" t="s">
        <v>10</v>
      </c>
      <c r="C1246" t="s">
        <v>16</v>
      </c>
      <c r="D1246">
        <v>5327.391192</v>
      </c>
    </row>
    <row r="1247" spans="1:5">
      <c r="A1247" t="s">
        <v>793</v>
      </c>
      <c r="B1247" t="s">
        <v>678</v>
      </c>
      <c r="C1247" t="s">
        <v>17</v>
      </c>
      <c r="D1247">
        <v>0</v>
      </c>
    </row>
    <row r="1248" spans="1:5">
      <c r="A1248" t="s">
        <v>793</v>
      </c>
      <c r="B1248" t="s">
        <v>10</v>
      </c>
      <c r="C1248" t="s">
        <v>17</v>
      </c>
      <c r="D1248">
        <v>296.7561</v>
      </c>
    </row>
    <row r="1249" spans="1:5">
      <c r="A1249" t="s">
        <v>793</v>
      </c>
      <c r="B1249" t="s">
        <v>17</v>
      </c>
      <c r="C1249" t="s">
        <v>16</v>
      </c>
      <c r="D1249">
        <v>296.7561</v>
      </c>
    </row>
    <row r="1250" spans="1:5">
      <c r="A1250" t="s">
        <v>793</v>
      </c>
      <c r="B1250" t="s">
        <v>14</v>
      </c>
      <c r="C1250" t="s">
        <v>678</v>
      </c>
      <c r="D1250">
        <v>1551.2159999999999</v>
      </c>
    </row>
    <row r="1251" spans="1:5">
      <c r="A1251" t="s">
        <v>793</v>
      </c>
      <c r="B1251" t="s">
        <v>14</v>
      </c>
      <c r="C1251" t="s">
        <v>10</v>
      </c>
      <c r="D1251">
        <v>5712.9110000000001</v>
      </c>
      <c r="E1251" s="1"/>
    </row>
    <row r="1252" spans="1:5">
      <c r="A1252" t="s">
        <v>793</v>
      </c>
      <c r="B1252" t="s">
        <v>6</v>
      </c>
      <c r="C1252" t="s">
        <v>14</v>
      </c>
      <c r="D1252">
        <v>7264.1270000000004</v>
      </c>
      <c r="E1252" s="1"/>
    </row>
    <row r="1253" spans="1:5">
      <c r="A1253" t="s">
        <v>793</v>
      </c>
      <c r="B1253" t="s">
        <v>8</v>
      </c>
      <c r="C1253" t="s">
        <v>14</v>
      </c>
      <c r="D1253">
        <v>0</v>
      </c>
    </row>
    <row r="1254" spans="1:5">
      <c r="A1254" t="s">
        <v>793</v>
      </c>
      <c r="B1254" t="s">
        <v>9</v>
      </c>
      <c r="C1254" t="s">
        <v>678</v>
      </c>
      <c r="D1254">
        <v>1031.0998</v>
      </c>
    </row>
    <row r="1255" spans="1:5">
      <c r="A1255" t="s">
        <v>793</v>
      </c>
      <c r="B1255" t="s">
        <v>9</v>
      </c>
      <c r="C1255" t="s">
        <v>10</v>
      </c>
      <c r="D1255">
        <v>466.74290000000002</v>
      </c>
    </row>
    <row r="1256" spans="1:5">
      <c r="A1256" t="s">
        <v>793</v>
      </c>
      <c r="B1256" t="s">
        <v>6</v>
      </c>
      <c r="C1256" t="s">
        <v>9</v>
      </c>
      <c r="D1256">
        <v>1497.8426999999999</v>
      </c>
    </row>
    <row r="1257" spans="1:5">
      <c r="A1257" t="s">
        <v>793</v>
      </c>
      <c r="B1257" t="s">
        <v>13</v>
      </c>
      <c r="C1257" t="s">
        <v>678</v>
      </c>
      <c r="D1257">
        <v>963.45780000000002</v>
      </c>
    </row>
    <row r="1258" spans="1:5">
      <c r="A1258" t="s">
        <v>793</v>
      </c>
      <c r="B1258" t="s">
        <v>13</v>
      </c>
      <c r="C1258" t="s">
        <v>10</v>
      </c>
      <c r="D1258">
        <v>13148.07</v>
      </c>
      <c r="E1258" s="1"/>
    </row>
    <row r="1259" spans="1:5">
      <c r="A1259" t="s">
        <v>793</v>
      </c>
      <c r="B1259" t="s">
        <v>6</v>
      </c>
      <c r="C1259" t="s">
        <v>13</v>
      </c>
      <c r="D1259">
        <v>14111.5278</v>
      </c>
      <c r="E1259" s="1"/>
    </row>
    <row r="1260" spans="1:5">
      <c r="A1260" t="s">
        <v>793</v>
      </c>
      <c r="B1260" t="s">
        <v>8</v>
      </c>
      <c r="C1260" t="s">
        <v>678</v>
      </c>
      <c r="D1260">
        <v>17.223392056000002</v>
      </c>
    </row>
    <row r="1261" spans="1:5">
      <c r="A1261" t="s">
        <v>793</v>
      </c>
      <c r="B1261" t="s">
        <v>8</v>
      </c>
      <c r="C1261" t="s">
        <v>10</v>
      </c>
      <c r="D1261">
        <v>608.31283710000002</v>
      </c>
      <c r="E1261" s="1"/>
    </row>
    <row r="1262" spans="1:5">
      <c r="A1262" t="s">
        <v>793</v>
      </c>
      <c r="B1262" t="s">
        <v>12</v>
      </c>
      <c r="C1262" t="s">
        <v>678</v>
      </c>
      <c r="D1262">
        <v>31.347562852999999</v>
      </c>
    </row>
    <row r="1263" spans="1:5">
      <c r="A1263" t="s">
        <v>793</v>
      </c>
      <c r="B1263" t="s">
        <v>12</v>
      </c>
      <c r="C1263" t="s">
        <v>10</v>
      </c>
      <c r="D1263">
        <v>882.93436632700002</v>
      </c>
    </row>
    <row r="1264" spans="1:5">
      <c r="A1264" t="s">
        <v>793</v>
      </c>
      <c r="B1264" t="s">
        <v>8</v>
      </c>
      <c r="C1264" t="s">
        <v>12</v>
      </c>
      <c r="D1264">
        <v>914.28192918000002</v>
      </c>
    </row>
    <row r="1265" spans="1:5">
      <c r="A1265" t="s">
        <v>793</v>
      </c>
      <c r="B1265" t="s">
        <v>16</v>
      </c>
      <c r="C1265" t="s">
        <v>678</v>
      </c>
      <c r="D1265">
        <v>309.97591514599998</v>
      </c>
    </row>
    <row r="1266" spans="1:5">
      <c r="A1266" t="s">
        <v>793</v>
      </c>
      <c r="B1266" t="s">
        <v>16</v>
      </c>
      <c r="C1266" t="s">
        <v>10</v>
      </c>
      <c r="D1266">
        <v>7511.5212185290002</v>
      </c>
    </row>
    <row r="1267" spans="1:5">
      <c r="A1267" t="s">
        <v>793</v>
      </c>
      <c r="B1267" t="s">
        <v>790</v>
      </c>
      <c r="C1267" t="s">
        <v>678</v>
      </c>
      <c r="D1267">
        <v>0</v>
      </c>
    </row>
    <row r="1268" spans="1:5">
      <c r="A1268" t="s">
        <v>793</v>
      </c>
      <c r="B1268" t="s">
        <v>790</v>
      </c>
      <c r="C1268" t="s">
        <v>10</v>
      </c>
      <c r="D1268">
        <v>0</v>
      </c>
    </row>
    <row r="1269" spans="1:5">
      <c r="A1269" t="s">
        <v>793</v>
      </c>
      <c r="B1269" t="s">
        <v>8</v>
      </c>
      <c r="C1269" t="s">
        <v>790</v>
      </c>
      <c r="D1269">
        <v>0</v>
      </c>
    </row>
    <row r="1270" spans="1:5">
      <c r="A1270" t="s">
        <v>793</v>
      </c>
      <c r="B1270" t="s">
        <v>8</v>
      </c>
      <c r="C1270" t="s">
        <v>6</v>
      </c>
      <c r="D1270">
        <v>-1062.206864</v>
      </c>
    </row>
    <row r="1271" spans="1:5">
      <c r="A1271" t="s">
        <v>793</v>
      </c>
      <c r="B1271" t="s">
        <v>15</v>
      </c>
      <c r="C1271" t="s">
        <v>6</v>
      </c>
      <c r="D1271">
        <v>1760.2380000000001</v>
      </c>
    </row>
    <row r="1272" spans="1:5">
      <c r="A1272" t="s">
        <v>793</v>
      </c>
      <c r="B1272" t="s">
        <v>5</v>
      </c>
      <c r="C1272" t="s">
        <v>6</v>
      </c>
      <c r="D1272">
        <v>2918.81</v>
      </c>
    </row>
    <row r="1273" spans="1:5">
      <c r="A1273" t="s">
        <v>793</v>
      </c>
      <c r="B1273" t="s">
        <v>15</v>
      </c>
      <c r="C1273" t="s">
        <v>5</v>
      </c>
      <c r="D1273">
        <v>2918.81</v>
      </c>
    </row>
    <row r="1274" spans="1:5">
      <c r="A1274" t="s">
        <v>793</v>
      </c>
      <c r="B1274" t="s">
        <v>6</v>
      </c>
      <c r="C1274" t="s">
        <v>8</v>
      </c>
      <c r="D1274">
        <v>0</v>
      </c>
    </row>
    <row r="1275" spans="1:5">
      <c r="A1275" t="s">
        <v>793</v>
      </c>
      <c r="B1275" t="s">
        <v>15</v>
      </c>
      <c r="C1275" t="s">
        <v>16</v>
      </c>
      <c r="D1275">
        <v>454.97313659000002</v>
      </c>
    </row>
    <row r="1276" spans="1:5">
      <c r="A1276" t="s">
        <v>793</v>
      </c>
      <c r="B1276" t="s">
        <v>15</v>
      </c>
      <c r="C1276" t="s">
        <v>8</v>
      </c>
      <c r="D1276">
        <v>1.423527E-3</v>
      </c>
      <c r="E1276" s="1"/>
    </row>
    <row r="1277" spans="1:5">
      <c r="A1277" t="s">
        <v>4</v>
      </c>
      <c r="B1277" t="s">
        <v>678</v>
      </c>
      <c r="C1277" t="s">
        <v>678</v>
      </c>
      <c r="D1277">
        <v>3520.9259400000001</v>
      </c>
    </row>
    <row r="1278" spans="1:5">
      <c r="A1278" t="s">
        <v>4</v>
      </c>
      <c r="B1278" t="s">
        <v>10</v>
      </c>
      <c r="C1278" t="s">
        <v>678</v>
      </c>
      <c r="D1278">
        <v>5387.4497000000001</v>
      </c>
    </row>
    <row r="1279" spans="1:5">
      <c r="A1279" t="s">
        <v>4</v>
      </c>
      <c r="B1279" t="s">
        <v>678</v>
      </c>
      <c r="C1279" t="s">
        <v>10</v>
      </c>
      <c r="D1279">
        <v>21892.4614</v>
      </c>
    </row>
    <row r="1280" spans="1:5">
      <c r="A1280" t="s">
        <v>4</v>
      </c>
      <c r="B1280" t="s">
        <v>10</v>
      </c>
      <c r="C1280" t="s">
        <v>10</v>
      </c>
      <c r="D1280">
        <v>176663.17</v>
      </c>
    </row>
    <row r="1281" spans="1:4">
      <c r="A1281" t="s">
        <v>4</v>
      </c>
      <c r="B1281" t="s">
        <v>11</v>
      </c>
      <c r="C1281" t="s">
        <v>678</v>
      </c>
      <c r="D1281">
        <v>17.670283424000001</v>
      </c>
    </row>
    <row r="1282" spans="1:4">
      <c r="A1282" t="s">
        <v>4</v>
      </c>
      <c r="B1282" t="s">
        <v>11</v>
      </c>
      <c r="C1282" t="s">
        <v>10</v>
      </c>
      <c r="D1282">
        <v>1029.9655797620001</v>
      </c>
    </row>
    <row r="1283" spans="1:4">
      <c r="A1283" t="s">
        <v>4</v>
      </c>
      <c r="B1283" t="s">
        <v>678</v>
      </c>
      <c r="C1283" t="s">
        <v>6</v>
      </c>
      <c r="D1283">
        <v>6422.4882900000002</v>
      </c>
    </row>
    <row r="1284" spans="1:4">
      <c r="A1284" t="s">
        <v>4</v>
      </c>
      <c r="B1284" t="s">
        <v>10</v>
      </c>
      <c r="C1284" t="s">
        <v>6</v>
      </c>
      <c r="D1284">
        <v>178661.47200000001</v>
      </c>
    </row>
    <row r="1285" spans="1:4">
      <c r="A1285" t="s">
        <v>4</v>
      </c>
      <c r="B1285" t="s">
        <v>11</v>
      </c>
      <c r="C1285" t="s">
        <v>6</v>
      </c>
      <c r="D1285">
        <v>69903.391673816994</v>
      </c>
    </row>
    <row r="1286" spans="1:4">
      <c r="A1286" t="s">
        <v>4</v>
      </c>
      <c r="B1286" t="s">
        <v>678</v>
      </c>
      <c r="C1286" t="s">
        <v>8</v>
      </c>
      <c r="D1286">
        <v>47.2006826</v>
      </c>
    </row>
    <row r="1287" spans="1:4">
      <c r="A1287" t="s">
        <v>4</v>
      </c>
      <c r="B1287" t="s">
        <v>10</v>
      </c>
      <c r="C1287" t="s">
        <v>8</v>
      </c>
      <c r="D1287">
        <v>10230.8869</v>
      </c>
    </row>
    <row r="1288" spans="1:4">
      <c r="A1288" t="s">
        <v>4</v>
      </c>
      <c r="B1288" t="s">
        <v>11</v>
      </c>
      <c r="C1288" t="s">
        <v>8</v>
      </c>
      <c r="D1288">
        <v>0.51170627300000004</v>
      </c>
    </row>
    <row r="1289" spans="1:4">
      <c r="A1289" t="s">
        <v>4</v>
      </c>
      <c r="B1289" t="s">
        <v>678</v>
      </c>
      <c r="C1289" t="s">
        <v>15</v>
      </c>
      <c r="D1289">
        <v>1355.818923</v>
      </c>
    </row>
    <row r="1290" spans="1:4">
      <c r="A1290" t="s">
        <v>4</v>
      </c>
      <c r="B1290" t="s">
        <v>10</v>
      </c>
      <c r="C1290" t="s">
        <v>15</v>
      </c>
      <c r="D1290">
        <v>63978.8</v>
      </c>
    </row>
    <row r="1291" spans="1:4">
      <c r="A1291" t="s">
        <v>4</v>
      </c>
      <c r="B1291" t="s">
        <v>11</v>
      </c>
      <c r="C1291" t="s">
        <v>15</v>
      </c>
      <c r="D1291">
        <v>-7.2141798330000002</v>
      </c>
    </row>
    <row r="1292" spans="1:4">
      <c r="A1292" t="s">
        <v>4</v>
      </c>
      <c r="B1292" t="s">
        <v>8</v>
      </c>
      <c r="C1292" t="s">
        <v>11</v>
      </c>
      <c r="D1292">
        <v>70944.325063443001</v>
      </c>
    </row>
    <row r="1293" spans="1:4">
      <c r="A1293" t="s">
        <v>4</v>
      </c>
      <c r="B1293" t="s">
        <v>678</v>
      </c>
      <c r="C1293" t="s">
        <v>7</v>
      </c>
      <c r="D1293">
        <v>0</v>
      </c>
    </row>
    <row r="1294" spans="1:4">
      <c r="A1294" t="s">
        <v>4</v>
      </c>
      <c r="B1294" t="s">
        <v>10</v>
      </c>
      <c r="C1294" t="s">
        <v>7</v>
      </c>
      <c r="D1294">
        <v>0</v>
      </c>
    </row>
    <row r="1295" spans="1:4">
      <c r="A1295" t="s">
        <v>4</v>
      </c>
      <c r="B1295" t="s">
        <v>7</v>
      </c>
      <c r="C1295" t="s">
        <v>8</v>
      </c>
      <c r="D1295">
        <v>0</v>
      </c>
    </row>
    <row r="1296" spans="1:4">
      <c r="A1296" t="s">
        <v>4</v>
      </c>
      <c r="B1296" t="s">
        <v>678</v>
      </c>
      <c r="C1296" t="s">
        <v>16</v>
      </c>
      <c r="D1296">
        <v>5071.0531930099996</v>
      </c>
    </row>
    <row r="1297" spans="1:4">
      <c r="A1297" t="s">
        <v>4</v>
      </c>
      <c r="B1297" t="s">
        <v>10</v>
      </c>
      <c r="C1297" t="s">
        <v>16</v>
      </c>
      <c r="D1297">
        <v>25823.048504825001</v>
      </c>
    </row>
    <row r="1298" spans="1:4">
      <c r="A1298" t="s">
        <v>4</v>
      </c>
      <c r="B1298" t="s">
        <v>678</v>
      </c>
      <c r="C1298" t="s">
        <v>17</v>
      </c>
      <c r="D1298">
        <v>0</v>
      </c>
    </row>
    <row r="1299" spans="1:4">
      <c r="A1299" t="s">
        <v>4</v>
      </c>
      <c r="B1299" t="s">
        <v>10</v>
      </c>
      <c r="C1299" t="s">
        <v>17</v>
      </c>
      <c r="D1299">
        <v>251.374</v>
      </c>
    </row>
    <row r="1300" spans="1:4">
      <c r="A1300" t="s">
        <v>4</v>
      </c>
      <c r="B1300" t="s">
        <v>17</v>
      </c>
      <c r="C1300" t="s">
        <v>16</v>
      </c>
      <c r="D1300">
        <v>251.374</v>
      </c>
    </row>
    <row r="1301" spans="1:4">
      <c r="A1301" t="s">
        <v>4</v>
      </c>
      <c r="B1301" t="s">
        <v>14</v>
      </c>
      <c r="C1301" t="s">
        <v>678</v>
      </c>
      <c r="D1301">
        <v>13482.77</v>
      </c>
    </row>
    <row r="1302" spans="1:4">
      <c r="A1302" t="s">
        <v>4</v>
      </c>
      <c r="B1302" t="s">
        <v>14</v>
      </c>
      <c r="C1302" t="s">
        <v>10</v>
      </c>
      <c r="D1302">
        <v>113224.7</v>
      </c>
    </row>
    <row r="1303" spans="1:4">
      <c r="A1303" t="s">
        <v>4</v>
      </c>
      <c r="B1303" t="s">
        <v>6</v>
      </c>
      <c r="C1303" t="s">
        <v>14</v>
      </c>
      <c r="D1303">
        <v>126707.47</v>
      </c>
    </row>
    <row r="1304" spans="1:4">
      <c r="A1304" t="s">
        <v>4</v>
      </c>
      <c r="B1304" t="s">
        <v>8</v>
      </c>
      <c r="C1304" t="s">
        <v>14</v>
      </c>
      <c r="D1304">
        <v>0</v>
      </c>
    </row>
    <row r="1305" spans="1:4">
      <c r="A1305" t="s">
        <v>4</v>
      </c>
      <c r="B1305" t="s">
        <v>9</v>
      </c>
      <c r="C1305" t="s">
        <v>678</v>
      </c>
      <c r="D1305">
        <v>7835.3491999999997</v>
      </c>
    </row>
    <row r="1306" spans="1:4">
      <c r="A1306" t="s">
        <v>4</v>
      </c>
      <c r="B1306" t="s">
        <v>9</v>
      </c>
      <c r="C1306" t="s">
        <v>10</v>
      </c>
      <c r="D1306">
        <v>4822.549</v>
      </c>
    </row>
    <row r="1307" spans="1:4">
      <c r="A1307" t="s">
        <v>4</v>
      </c>
      <c r="B1307" t="s">
        <v>6</v>
      </c>
      <c r="C1307" t="s">
        <v>9</v>
      </c>
      <c r="D1307">
        <v>12657.8982</v>
      </c>
    </row>
    <row r="1308" spans="1:4">
      <c r="A1308" t="s">
        <v>4</v>
      </c>
      <c r="B1308" t="s">
        <v>13</v>
      </c>
      <c r="C1308" t="s">
        <v>678</v>
      </c>
      <c r="D1308">
        <v>7410.96</v>
      </c>
    </row>
    <row r="1309" spans="1:4">
      <c r="A1309" t="s">
        <v>4</v>
      </c>
      <c r="B1309" t="s">
        <v>13</v>
      </c>
      <c r="C1309" t="s">
        <v>10</v>
      </c>
      <c r="D1309">
        <v>109075.3</v>
      </c>
    </row>
    <row r="1310" spans="1:4">
      <c r="A1310" t="s">
        <v>4</v>
      </c>
      <c r="B1310" t="s">
        <v>6</v>
      </c>
      <c r="C1310" t="s">
        <v>13</v>
      </c>
      <c r="D1310">
        <v>116486.26</v>
      </c>
    </row>
    <row r="1311" spans="1:4">
      <c r="A1311" t="s">
        <v>4</v>
      </c>
      <c r="B1311" t="s">
        <v>8</v>
      </c>
      <c r="C1311" t="s">
        <v>678</v>
      </c>
      <c r="D1311">
        <v>1.7795860000000001E-3</v>
      </c>
    </row>
    <row r="1312" spans="1:4">
      <c r="A1312" t="s">
        <v>4</v>
      </c>
      <c r="B1312" t="s">
        <v>8</v>
      </c>
      <c r="C1312" t="s">
        <v>10</v>
      </c>
      <c r="D1312">
        <v>-1.4749369999999999E-3</v>
      </c>
    </row>
    <row r="1313" spans="1:4">
      <c r="A1313" t="s">
        <v>4</v>
      </c>
      <c r="B1313" t="s">
        <v>12</v>
      </c>
      <c r="C1313" t="s">
        <v>678</v>
      </c>
      <c r="D1313">
        <v>22.750572403</v>
      </c>
    </row>
    <row r="1314" spans="1:4">
      <c r="A1314" t="s">
        <v>4</v>
      </c>
      <c r="B1314" t="s">
        <v>12</v>
      </c>
      <c r="C1314" t="s">
        <v>10</v>
      </c>
      <c r="D1314">
        <v>3106.8414688190001</v>
      </c>
    </row>
    <row r="1315" spans="1:4">
      <c r="A1315" t="s">
        <v>4</v>
      </c>
      <c r="B1315" t="s">
        <v>8</v>
      </c>
      <c r="C1315" t="s">
        <v>12</v>
      </c>
      <c r="D1315">
        <v>3129.5920412219998</v>
      </c>
    </row>
    <row r="1316" spans="1:4">
      <c r="A1316" t="s">
        <v>4</v>
      </c>
      <c r="B1316" t="s">
        <v>16</v>
      </c>
      <c r="C1316" t="s">
        <v>678</v>
      </c>
      <c r="D1316">
        <v>632.07089722399996</v>
      </c>
    </row>
    <row r="1317" spans="1:4">
      <c r="A1317" t="s">
        <v>4</v>
      </c>
      <c r="B1317" t="s">
        <v>16</v>
      </c>
      <c r="C1317" t="s">
        <v>10</v>
      </c>
      <c r="D1317">
        <v>31181.221219535</v>
      </c>
    </row>
    <row r="1318" spans="1:4">
      <c r="A1318" t="s">
        <v>4</v>
      </c>
      <c r="B1318" t="s">
        <v>790</v>
      </c>
      <c r="C1318" t="s">
        <v>678</v>
      </c>
      <c r="D1318">
        <v>0</v>
      </c>
    </row>
    <row r="1319" spans="1:4">
      <c r="A1319" t="s">
        <v>4</v>
      </c>
      <c r="B1319" t="s">
        <v>790</v>
      </c>
      <c r="C1319" t="s">
        <v>10</v>
      </c>
      <c r="D1319">
        <v>0</v>
      </c>
    </row>
    <row r="1320" spans="1:4">
      <c r="A1320" t="s">
        <v>4</v>
      </c>
      <c r="B1320" t="s">
        <v>8</v>
      </c>
      <c r="C1320" t="s">
        <v>790</v>
      </c>
      <c r="D1320">
        <v>0</v>
      </c>
    </row>
    <row r="1321" spans="1:4">
      <c r="A1321" t="s">
        <v>4</v>
      </c>
      <c r="B1321" t="s">
        <v>8</v>
      </c>
      <c r="C1321" t="s">
        <v>6</v>
      </c>
      <c r="D1321">
        <v>-63795.243759999998</v>
      </c>
    </row>
    <row r="1322" spans="1:4">
      <c r="A1322" t="s">
        <v>4</v>
      </c>
      <c r="B1322" t="s">
        <v>15</v>
      </c>
      <c r="C1322" t="s">
        <v>6</v>
      </c>
      <c r="D1322">
        <v>33684.39</v>
      </c>
    </row>
    <row r="1323" spans="1:4">
      <c r="A1323" t="s">
        <v>4</v>
      </c>
      <c r="B1323" t="s">
        <v>5</v>
      </c>
      <c r="C1323" t="s">
        <v>6</v>
      </c>
      <c r="D1323">
        <v>30975.13</v>
      </c>
    </row>
    <row r="1324" spans="1:4">
      <c r="A1324" t="s">
        <v>4</v>
      </c>
      <c r="B1324" t="s">
        <v>15</v>
      </c>
      <c r="C1324" t="s">
        <v>5</v>
      </c>
      <c r="D1324">
        <v>30975.13</v>
      </c>
    </row>
    <row r="1325" spans="1:4">
      <c r="A1325" t="s">
        <v>4</v>
      </c>
      <c r="B1325" t="s">
        <v>6</v>
      </c>
      <c r="C1325" t="s">
        <v>8</v>
      </c>
      <c r="D1325">
        <v>0</v>
      </c>
    </row>
    <row r="1326" spans="1:4">
      <c r="A1326" t="s">
        <v>4</v>
      </c>
      <c r="B1326" t="s">
        <v>15</v>
      </c>
      <c r="C1326" t="s">
        <v>16</v>
      </c>
      <c r="D1326">
        <v>667.81641892300001</v>
      </c>
    </row>
    <row r="1327" spans="1:4">
      <c r="A1327" t="s">
        <v>4</v>
      </c>
      <c r="B1327" t="s">
        <v>15</v>
      </c>
      <c r="C1327" t="s">
        <v>8</v>
      </c>
      <c r="D1327">
        <v>7.4356623999999996E-2</v>
      </c>
    </row>
    <row r="1328" spans="1:4">
      <c r="A1328" t="s">
        <v>19</v>
      </c>
      <c r="B1328" t="s">
        <v>678</v>
      </c>
      <c r="C1328" t="s">
        <v>678</v>
      </c>
      <c r="D1328">
        <v>14244.494699999999</v>
      </c>
    </row>
    <row r="1329" spans="1:4">
      <c r="A1329" t="s">
        <v>19</v>
      </c>
      <c r="B1329" t="s">
        <v>10</v>
      </c>
      <c r="C1329" t="s">
        <v>678</v>
      </c>
      <c r="D1329">
        <v>28228.3966</v>
      </c>
    </row>
    <row r="1330" spans="1:4">
      <c r="A1330" t="s">
        <v>19</v>
      </c>
      <c r="B1330" t="s">
        <v>678</v>
      </c>
      <c r="C1330" t="s">
        <v>10</v>
      </c>
      <c r="D1330">
        <v>57345.072</v>
      </c>
    </row>
    <row r="1331" spans="1:4">
      <c r="A1331" t="s">
        <v>19</v>
      </c>
      <c r="B1331" t="s">
        <v>10</v>
      </c>
      <c r="C1331" t="s">
        <v>10</v>
      </c>
      <c r="D1331">
        <v>701351.35</v>
      </c>
    </row>
    <row r="1332" spans="1:4">
      <c r="A1332" t="s">
        <v>19</v>
      </c>
      <c r="B1332" t="s">
        <v>11</v>
      </c>
      <c r="C1332" t="s">
        <v>678</v>
      </c>
      <c r="D1332">
        <v>769.61260000000004</v>
      </c>
    </row>
    <row r="1333" spans="1:4">
      <c r="A1333" t="s">
        <v>19</v>
      </c>
      <c r="B1333" t="s">
        <v>11</v>
      </c>
      <c r="C1333" t="s">
        <v>10</v>
      </c>
      <c r="D1333">
        <v>41961.8001</v>
      </c>
    </row>
    <row r="1334" spans="1:4">
      <c r="A1334" t="s">
        <v>19</v>
      </c>
      <c r="B1334" t="s">
        <v>678</v>
      </c>
      <c r="C1334" t="s">
        <v>6</v>
      </c>
      <c r="D1334">
        <v>22583.677299999999</v>
      </c>
    </row>
    <row r="1335" spans="1:4">
      <c r="A1335" t="s">
        <v>19</v>
      </c>
      <c r="B1335" t="s">
        <v>10</v>
      </c>
      <c r="C1335" t="s">
        <v>6</v>
      </c>
      <c r="D1335">
        <v>382913.59499999997</v>
      </c>
    </row>
    <row r="1336" spans="1:4">
      <c r="A1336" t="s">
        <v>19</v>
      </c>
      <c r="B1336" t="s">
        <v>11</v>
      </c>
      <c r="C1336" t="s">
        <v>6</v>
      </c>
      <c r="D1336">
        <v>103089.97261</v>
      </c>
    </row>
    <row r="1337" spans="1:4">
      <c r="A1337" t="s">
        <v>19</v>
      </c>
      <c r="B1337" t="s">
        <v>678</v>
      </c>
      <c r="C1337" t="s">
        <v>8</v>
      </c>
      <c r="D1337">
        <v>5.1176795999999998</v>
      </c>
    </row>
    <row r="1338" spans="1:4">
      <c r="A1338" t="s">
        <v>19</v>
      </c>
      <c r="B1338" t="s">
        <v>10</v>
      </c>
      <c r="C1338" t="s">
        <v>8</v>
      </c>
      <c r="D1338">
        <v>145709.71332000001</v>
      </c>
    </row>
    <row r="1339" spans="1:4">
      <c r="A1339" t="s">
        <v>19</v>
      </c>
      <c r="B1339" t="s">
        <v>11</v>
      </c>
      <c r="C1339" t="s">
        <v>8</v>
      </c>
      <c r="D1339">
        <v>3.5575883799999999</v>
      </c>
    </row>
    <row r="1340" spans="1:4">
      <c r="A1340" t="s">
        <v>19</v>
      </c>
      <c r="B1340" t="s">
        <v>678</v>
      </c>
      <c r="C1340" t="s">
        <v>15</v>
      </c>
      <c r="D1340">
        <v>2483.456306</v>
      </c>
    </row>
    <row r="1341" spans="1:4">
      <c r="A1341" t="s">
        <v>19</v>
      </c>
      <c r="B1341" t="s">
        <v>10</v>
      </c>
      <c r="C1341" t="s">
        <v>15</v>
      </c>
      <c r="D1341">
        <v>144396.34</v>
      </c>
    </row>
    <row r="1342" spans="1:4">
      <c r="A1342" t="s">
        <v>19</v>
      </c>
      <c r="B1342" t="s">
        <v>11</v>
      </c>
      <c r="C1342" t="s">
        <v>15</v>
      </c>
      <c r="D1342">
        <v>10576.915489499999</v>
      </c>
    </row>
    <row r="1343" spans="1:4">
      <c r="A1343" t="s">
        <v>19</v>
      </c>
      <c r="B1343" t="s">
        <v>8</v>
      </c>
      <c r="C1343" t="s">
        <v>11</v>
      </c>
      <c r="D1343">
        <v>156401.85839000001</v>
      </c>
    </row>
    <row r="1344" spans="1:4">
      <c r="A1344" t="s">
        <v>19</v>
      </c>
      <c r="B1344" t="s">
        <v>678</v>
      </c>
      <c r="C1344" t="s">
        <v>7</v>
      </c>
      <c r="D1344">
        <v>0</v>
      </c>
    </row>
    <row r="1345" spans="1:4">
      <c r="A1345" t="s">
        <v>19</v>
      </c>
      <c r="B1345" t="s">
        <v>10</v>
      </c>
      <c r="C1345" t="s">
        <v>7</v>
      </c>
      <c r="D1345">
        <v>0</v>
      </c>
    </row>
    <row r="1346" spans="1:4">
      <c r="A1346" t="s">
        <v>19</v>
      </c>
      <c r="B1346" t="s">
        <v>7</v>
      </c>
      <c r="C1346" t="s">
        <v>8</v>
      </c>
      <c r="D1346">
        <v>0</v>
      </c>
    </row>
    <row r="1347" spans="1:4">
      <c r="A1347" t="s">
        <v>19</v>
      </c>
      <c r="B1347" t="s">
        <v>678</v>
      </c>
      <c r="C1347" t="s">
        <v>16</v>
      </c>
      <c r="D1347">
        <v>6835.7795718899997</v>
      </c>
    </row>
    <row r="1348" spans="1:4">
      <c r="A1348" t="s">
        <v>19</v>
      </c>
      <c r="B1348" t="s">
        <v>10</v>
      </c>
      <c r="C1348" t="s">
        <v>16</v>
      </c>
      <c r="D1348">
        <v>60189.885440988</v>
      </c>
    </row>
    <row r="1349" spans="1:4">
      <c r="A1349" t="s">
        <v>19</v>
      </c>
      <c r="B1349" t="s">
        <v>678</v>
      </c>
      <c r="C1349" t="s">
        <v>17</v>
      </c>
      <c r="D1349">
        <v>0</v>
      </c>
    </row>
    <row r="1350" spans="1:4">
      <c r="A1350" t="s">
        <v>19</v>
      </c>
      <c r="B1350" t="s">
        <v>10</v>
      </c>
      <c r="C1350" t="s">
        <v>17</v>
      </c>
      <c r="D1350">
        <v>1087.413</v>
      </c>
    </row>
    <row r="1351" spans="1:4">
      <c r="A1351" t="s">
        <v>19</v>
      </c>
      <c r="B1351" t="s">
        <v>17</v>
      </c>
      <c r="C1351" t="s">
        <v>16</v>
      </c>
      <c r="D1351">
        <v>1087.413</v>
      </c>
    </row>
    <row r="1352" spans="1:4">
      <c r="A1352" t="s">
        <v>19</v>
      </c>
      <c r="B1352" t="s">
        <v>14</v>
      </c>
      <c r="C1352" t="s">
        <v>678</v>
      </c>
      <c r="D1352">
        <v>13912.86</v>
      </c>
    </row>
    <row r="1353" spans="1:4">
      <c r="A1353" t="s">
        <v>19</v>
      </c>
      <c r="B1353" t="s">
        <v>14</v>
      </c>
      <c r="C1353" t="s">
        <v>10</v>
      </c>
      <c r="D1353">
        <v>290889.09999999998</v>
      </c>
    </row>
    <row r="1354" spans="1:4">
      <c r="A1354" t="s">
        <v>19</v>
      </c>
      <c r="B1354" t="s">
        <v>6</v>
      </c>
      <c r="C1354" t="s">
        <v>14</v>
      </c>
      <c r="D1354">
        <v>304801.96000000002</v>
      </c>
    </row>
    <row r="1355" spans="1:4">
      <c r="A1355" t="s">
        <v>19</v>
      </c>
      <c r="B1355" t="s">
        <v>8</v>
      </c>
      <c r="C1355" t="s">
        <v>14</v>
      </c>
      <c r="D1355">
        <v>0</v>
      </c>
    </row>
    <row r="1356" spans="1:4">
      <c r="A1356" t="s">
        <v>19</v>
      </c>
      <c r="B1356" t="s">
        <v>9</v>
      </c>
      <c r="C1356" t="s">
        <v>678</v>
      </c>
      <c r="D1356">
        <v>9451.7996999999996</v>
      </c>
    </row>
    <row r="1357" spans="1:4">
      <c r="A1357" t="s">
        <v>19</v>
      </c>
      <c r="B1357" t="s">
        <v>9</v>
      </c>
      <c r="C1357" t="s">
        <v>10</v>
      </c>
      <c r="D1357">
        <v>4791.826</v>
      </c>
    </row>
    <row r="1358" spans="1:4">
      <c r="A1358" t="s">
        <v>19</v>
      </c>
      <c r="B1358" t="s">
        <v>6</v>
      </c>
      <c r="C1358" t="s">
        <v>9</v>
      </c>
      <c r="D1358">
        <v>14243.625700000001</v>
      </c>
    </row>
    <row r="1359" spans="1:4">
      <c r="A1359" t="s">
        <v>19</v>
      </c>
      <c r="B1359" t="s">
        <v>13</v>
      </c>
      <c r="C1359" t="s">
        <v>678</v>
      </c>
      <c r="D1359">
        <v>35130.379999999997</v>
      </c>
    </row>
    <row r="1360" spans="1:4">
      <c r="A1360" t="s">
        <v>19</v>
      </c>
      <c r="B1360" t="s">
        <v>13</v>
      </c>
      <c r="C1360" t="s">
        <v>10</v>
      </c>
      <c r="D1360">
        <v>307194.5</v>
      </c>
    </row>
    <row r="1361" spans="1:4">
      <c r="A1361" t="s">
        <v>19</v>
      </c>
      <c r="B1361" t="s">
        <v>6</v>
      </c>
      <c r="C1361" t="s">
        <v>13</v>
      </c>
      <c r="D1361">
        <v>342324.88</v>
      </c>
    </row>
    <row r="1362" spans="1:4">
      <c r="A1362" t="s">
        <v>19</v>
      </c>
      <c r="B1362" t="s">
        <v>8</v>
      </c>
      <c r="C1362" t="s">
        <v>678</v>
      </c>
      <c r="D1362">
        <v>-795.42729851000001</v>
      </c>
    </row>
    <row r="1363" spans="1:4">
      <c r="A1363" t="s">
        <v>19</v>
      </c>
      <c r="B1363" t="s">
        <v>8</v>
      </c>
      <c r="C1363" t="s">
        <v>10</v>
      </c>
      <c r="D1363">
        <v>-18014.02966</v>
      </c>
    </row>
    <row r="1364" spans="1:4">
      <c r="A1364" t="s">
        <v>19</v>
      </c>
      <c r="B1364" t="s">
        <v>12</v>
      </c>
      <c r="C1364" t="s">
        <v>678</v>
      </c>
      <c r="D1364">
        <v>202.21612440000001</v>
      </c>
    </row>
    <row r="1365" spans="1:4">
      <c r="A1365" t="s">
        <v>19</v>
      </c>
      <c r="B1365" t="s">
        <v>12</v>
      </c>
      <c r="C1365" t="s">
        <v>10</v>
      </c>
      <c r="D1365">
        <v>9520.8532129670002</v>
      </c>
    </row>
    <row r="1366" spans="1:4">
      <c r="A1366" t="s">
        <v>19</v>
      </c>
      <c r="B1366" t="s">
        <v>8</v>
      </c>
      <c r="C1366" t="s">
        <v>12</v>
      </c>
      <c r="D1366">
        <v>9723.0693373670001</v>
      </c>
    </row>
    <row r="1367" spans="1:4">
      <c r="A1367" t="s">
        <v>19</v>
      </c>
      <c r="B1367" t="s">
        <v>16</v>
      </c>
      <c r="C1367" t="s">
        <v>678</v>
      </c>
      <c r="D1367">
        <v>2353.2651294440002</v>
      </c>
    </row>
    <row r="1368" spans="1:4">
      <c r="A1368" t="s">
        <v>19</v>
      </c>
      <c r="B1368" t="s">
        <v>16</v>
      </c>
      <c r="C1368" t="s">
        <v>10</v>
      </c>
      <c r="D1368">
        <v>68836.214235955005</v>
      </c>
    </row>
    <row r="1369" spans="1:4">
      <c r="A1369" t="s">
        <v>19</v>
      </c>
      <c r="B1369" t="s">
        <v>790</v>
      </c>
      <c r="C1369" t="s">
        <v>678</v>
      </c>
      <c r="D1369">
        <v>0</v>
      </c>
    </row>
    <row r="1370" spans="1:4">
      <c r="A1370" t="s">
        <v>19</v>
      </c>
      <c r="B1370" t="s">
        <v>790</v>
      </c>
      <c r="C1370" t="s">
        <v>10</v>
      </c>
      <c r="D1370">
        <v>0</v>
      </c>
    </row>
    <row r="1371" spans="1:4">
      <c r="A1371" t="s">
        <v>19</v>
      </c>
      <c r="B1371" t="s">
        <v>8</v>
      </c>
      <c r="C1371" t="s">
        <v>790</v>
      </c>
      <c r="D1371">
        <v>0</v>
      </c>
    </row>
    <row r="1372" spans="1:4">
      <c r="A1372" t="s">
        <v>19</v>
      </c>
      <c r="B1372" t="s">
        <v>8</v>
      </c>
      <c r="C1372" t="s">
        <v>6</v>
      </c>
      <c r="D1372">
        <v>-1597.0792100000001</v>
      </c>
    </row>
    <row r="1373" spans="1:4">
      <c r="A1373" t="s">
        <v>19</v>
      </c>
      <c r="B1373" t="s">
        <v>15</v>
      </c>
      <c r="C1373" t="s">
        <v>6</v>
      </c>
      <c r="D1373">
        <v>61893.72</v>
      </c>
    </row>
    <row r="1374" spans="1:4">
      <c r="A1374" t="s">
        <v>19</v>
      </c>
      <c r="B1374" t="s">
        <v>5</v>
      </c>
      <c r="C1374" t="s">
        <v>6</v>
      </c>
      <c r="D1374">
        <v>92486.58</v>
      </c>
    </row>
    <row r="1375" spans="1:4">
      <c r="A1375" t="s">
        <v>19</v>
      </c>
      <c r="B1375" t="s">
        <v>15</v>
      </c>
      <c r="C1375" t="s">
        <v>5</v>
      </c>
      <c r="D1375">
        <v>92486.58</v>
      </c>
    </row>
    <row r="1376" spans="1:4">
      <c r="A1376" t="s">
        <v>19</v>
      </c>
      <c r="B1376" t="s">
        <v>6</v>
      </c>
      <c r="C1376" t="s">
        <v>8</v>
      </c>
      <c r="D1376">
        <v>0</v>
      </c>
    </row>
    <row r="1377" spans="1:4">
      <c r="A1377" t="s">
        <v>19</v>
      </c>
      <c r="B1377" t="s">
        <v>15</v>
      </c>
      <c r="C1377" t="s">
        <v>16</v>
      </c>
      <c r="D1377">
        <v>3076.4013525209998</v>
      </c>
    </row>
    <row r="1378" spans="1:4">
      <c r="A1378" t="s">
        <v>19</v>
      </c>
      <c r="B1378" t="s">
        <v>15</v>
      </c>
      <c r="C1378" t="s">
        <v>8</v>
      </c>
      <c r="D1378">
        <v>2.9697439999999999E-3</v>
      </c>
    </row>
    <row r="1379" spans="1:4">
      <c r="A1379" t="s">
        <v>21</v>
      </c>
      <c r="B1379" t="s">
        <v>678</v>
      </c>
      <c r="C1379" t="s">
        <v>678</v>
      </c>
      <c r="D1379">
        <v>1354.47093</v>
      </c>
    </row>
    <row r="1380" spans="1:4">
      <c r="A1380" t="s">
        <v>21</v>
      </c>
      <c r="B1380" t="s">
        <v>10</v>
      </c>
      <c r="C1380" t="s">
        <v>678</v>
      </c>
      <c r="D1380">
        <v>3182.3607000000002</v>
      </c>
    </row>
    <row r="1381" spans="1:4">
      <c r="A1381" t="s">
        <v>21</v>
      </c>
      <c r="B1381" t="s">
        <v>678</v>
      </c>
      <c r="C1381" t="s">
        <v>10</v>
      </c>
      <c r="D1381">
        <v>5501.2898999999998</v>
      </c>
    </row>
    <row r="1382" spans="1:4">
      <c r="A1382" t="s">
        <v>21</v>
      </c>
      <c r="B1382" t="s">
        <v>10</v>
      </c>
      <c r="C1382" t="s">
        <v>10</v>
      </c>
      <c r="D1382">
        <v>56239.47</v>
      </c>
    </row>
    <row r="1383" spans="1:4">
      <c r="A1383" t="s">
        <v>21</v>
      </c>
      <c r="B1383" t="s">
        <v>11</v>
      </c>
      <c r="C1383" t="s">
        <v>678</v>
      </c>
      <c r="D1383">
        <v>58.262036629999997</v>
      </c>
    </row>
    <row r="1384" spans="1:4">
      <c r="A1384" t="s">
        <v>21</v>
      </c>
      <c r="B1384" t="s">
        <v>11</v>
      </c>
      <c r="C1384" t="s">
        <v>10</v>
      </c>
      <c r="D1384">
        <v>1548.1842105999999</v>
      </c>
    </row>
    <row r="1385" spans="1:4">
      <c r="A1385" t="s">
        <v>21</v>
      </c>
      <c r="B1385" t="s">
        <v>678</v>
      </c>
      <c r="C1385" t="s">
        <v>6</v>
      </c>
      <c r="D1385">
        <v>1802.6827900000001</v>
      </c>
    </row>
    <row r="1386" spans="1:4">
      <c r="A1386" t="s">
        <v>21</v>
      </c>
      <c r="B1386" t="s">
        <v>10</v>
      </c>
      <c r="C1386" t="s">
        <v>6</v>
      </c>
      <c r="D1386">
        <v>39412.402999999998</v>
      </c>
    </row>
    <row r="1387" spans="1:4">
      <c r="A1387" t="s">
        <v>21</v>
      </c>
      <c r="B1387" t="s">
        <v>11</v>
      </c>
      <c r="C1387" t="s">
        <v>6</v>
      </c>
      <c r="D1387">
        <v>9277.1557200000007</v>
      </c>
    </row>
    <row r="1388" spans="1:4">
      <c r="A1388" t="s">
        <v>21</v>
      </c>
      <c r="B1388" t="s">
        <v>678</v>
      </c>
      <c r="C1388" t="s">
        <v>8</v>
      </c>
      <c r="D1388">
        <v>0.14259933999999999</v>
      </c>
    </row>
    <row r="1389" spans="1:4">
      <c r="A1389" t="s">
        <v>21</v>
      </c>
      <c r="B1389" t="s">
        <v>10</v>
      </c>
      <c r="C1389" t="s">
        <v>8</v>
      </c>
      <c r="D1389">
        <v>7686.4576969999998</v>
      </c>
    </row>
    <row r="1390" spans="1:4">
      <c r="A1390" t="s">
        <v>21</v>
      </c>
      <c r="B1390" t="s">
        <v>11</v>
      </c>
      <c r="C1390" t="s">
        <v>8</v>
      </c>
      <c r="D1390">
        <v>2.030740067</v>
      </c>
    </row>
    <row r="1391" spans="1:4">
      <c r="A1391" t="s">
        <v>21</v>
      </c>
      <c r="B1391" t="s">
        <v>678</v>
      </c>
      <c r="C1391" t="s">
        <v>15</v>
      </c>
      <c r="D1391">
        <v>564.03068199999996</v>
      </c>
    </row>
    <row r="1392" spans="1:4">
      <c r="A1392" t="s">
        <v>21</v>
      </c>
      <c r="B1392" t="s">
        <v>10</v>
      </c>
      <c r="C1392" t="s">
        <v>15</v>
      </c>
      <c r="D1392">
        <v>18648.03</v>
      </c>
    </row>
    <row r="1393" spans="1:4">
      <c r="A1393" t="s">
        <v>21</v>
      </c>
      <c r="B1393" t="s">
        <v>11</v>
      </c>
      <c r="C1393" t="s">
        <v>15</v>
      </c>
      <c r="D1393">
        <v>174.8872533</v>
      </c>
    </row>
    <row r="1394" spans="1:4">
      <c r="A1394" t="s">
        <v>21</v>
      </c>
      <c r="B1394" t="s">
        <v>8</v>
      </c>
      <c r="C1394" t="s">
        <v>11</v>
      </c>
      <c r="D1394">
        <v>11060.519960596999</v>
      </c>
    </row>
    <row r="1395" spans="1:4">
      <c r="A1395" t="s">
        <v>21</v>
      </c>
      <c r="B1395" t="s">
        <v>678</v>
      </c>
      <c r="C1395" t="s">
        <v>7</v>
      </c>
      <c r="D1395">
        <v>0</v>
      </c>
    </row>
    <row r="1396" spans="1:4">
      <c r="A1396" t="s">
        <v>21</v>
      </c>
      <c r="B1396" t="s">
        <v>10</v>
      </c>
      <c r="C1396" t="s">
        <v>7</v>
      </c>
      <c r="D1396">
        <v>0</v>
      </c>
    </row>
    <row r="1397" spans="1:4">
      <c r="A1397" t="s">
        <v>21</v>
      </c>
      <c r="B1397" t="s">
        <v>7</v>
      </c>
      <c r="C1397" t="s">
        <v>8</v>
      </c>
      <c r="D1397">
        <v>0</v>
      </c>
    </row>
    <row r="1398" spans="1:4">
      <c r="A1398" t="s">
        <v>21</v>
      </c>
      <c r="B1398" t="s">
        <v>678</v>
      </c>
      <c r="C1398" t="s">
        <v>16</v>
      </c>
      <c r="D1398">
        <v>1665.529288881</v>
      </c>
    </row>
    <row r="1399" spans="1:4">
      <c r="A1399" t="s">
        <v>21</v>
      </c>
      <c r="B1399" t="s">
        <v>10</v>
      </c>
      <c r="C1399" t="s">
        <v>16</v>
      </c>
      <c r="D1399">
        <v>16825.750283541998</v>
      </c>
    </row>
    <row r="1400" spans="1:4">
      <c r="A1400" t="s">
        <v>21</v>
      </c>
      <c r="B1400" t="s">
        <v>678</v>
      </c>
      <c r="C1400" t="s">
        <v>17</v>
      </c>
      <c r="D1400">
        <v>0</v>
      </c>
    </row>
    <row r="1401" spans="1:4">
      <c r="A1401" t="s">
        <v>21</v>
      </c>
      <c r="B1401" t="s">
        <v>10</v>
      </c>
      <c r="C1401" t="s">
        <v>17</v>
      </c>
      <c r="D1401">
        <v>851.39400000000001</v>
      </c>
    </row>
    <row r="1402" spans="1:4">
      <c r="A1402" t="s">
        <v>21</v>
      </c>
      <c r="B1402" t="s">
        <v>17</v>
      </c>
      <c r="C1402" t="s">
        <v>16</v>
      </c>
      <c r="D1402">
        <v>851.39400000000001</v>
      </c>
    </row>
    <row r="1403" spans="1:4">
      <c r="A1403" t="s">
        <v>21</v>
      </c>
      <c r="B1403" t="s">
        <v>14</v>
      </c>
      <c r="C1403" t="s">
        <v>678</v>
      </c>
      <c r="D1403">
        <v>2342.2919999999999</v>
      </c>
    </row>
    <row r="1404" spans="1:4">
      <c r="A1404" t="s">
        <v>21</v>
      </c>
      <c r="B1404" t="s">
        <v>14</v>
      </c>
      <c r="C1404" t="s">
        <v>10</v>
      </c>
      <c r="D1404">
        <v>20659.79</v>
      </c>
    </row>
    <row r="1405" spans="1:4">
      <c r="A1405" t="s">
        <v>21</v>
      </c>
      <c r="B1405" t="s">
        <v>6</v>
      </c>
      <c r="C1405" t="s">
        <v>14</v>
      </c>
      <c r="D1405">
        <v>23002.081999999999</v>
      </c>
    </row>
    <row r="1406" spans="1:4">
      <c r="A1406" t="s">
        <v>21</v>
      </c>
      <c r="B1406" t="s">
        <v>8</v>
      </c>
      <c r="C1406" t="s">
        <v>14</v>
      </c>
      <c r="D1406">
        <v>0</v>
      </c>
    </row>
    <row r="1407" spans="1:4">
      <c r="A1407" t="s">
        <v>21</v>
      </c>
      <c r="B1407" t="s">
        <v>9</v>
      </c>
      <c r="C1407" t="s">
        <v>678</v>
      </c>
      <c r="D1407">
        <v>1617.9677999999999</v>
      </c>
    </row>
    <row r="1408" spans="1:4">
      <c r="A1408" t="s">
        <v>21</v>
      </c>
      <c r="B1408" t="s">
        <v>9</v>
      </c>
      <c r="C1408" t="s">
        <v>10</v>
      </c>
      <c r="D1408">
        <v>842.4443</v>
      </c>
    </row>
    <row r="1409" spans="1:4">
      <c r="A1409" t="s">
        <v>21</v>
      </c>
      <c r="B1409" t="s">
        <v>6</v>
      </c>
      <c r="C1409" t="s">
        <v>9</v>
      </c>
      <c r="D1409">
        <v>2460.4121</v>
      </c>
    </row>
    <row r="1410" spans="1:4">
      <c r="A1410" t="s">
        <v>21</v>
      </c>
      <c r="B1410" t="s">
        <v>13</v>
      </c>
      <c r="C1410" t="s">
        <v>678</v>
      </c>
      <c r="D1410">
        <v>1687.2360000000001</v>
      </c>
    </row>
    <row r="1411" spans="1:4">
      <c r="A1411" t="s">
        <v>21</v>
      </c>
      <c r="B1411" t="s">
        <v>13</v>
      </c>
      <c r="C1411" t="s">
        <v>10</v>
      </c>
      <c r="D1411">
        <v>33780.97</v>
      </c>
    </row>
    <row r="1412" spans="1:4">
      <c r="A1412" t="s">
        <v>21</v>
      </c>
      <c r="B1412" t="s">
        <v>6</v>
      </c>
      <c r="C1412" t="s">
        <v>13</v>
      </c>
      <c r="D1412">
        <v>35468.205999999998</v>
      </c>
    </row>
    <row r="1413" spans="1:4">
      <c r="A1413" t="s">
        <v>21</v>
      </c>
      <c r="B1413" t="s">
        <v>8</v>
      </c>
      <c r="C1413" t="s">
        <v>678</v>
      </c>
      <c r="D1413">
        <v>195.52169511100001</v>
      </c>
    </row>
    <row r="1414" spans="1:4">
      <c r="A1414" t="s">
        <v>21</v>
      </c>
      <c r="B1414" t="s">
        <v>8</v>
      </c>
      <c r="C1414" t="s">
        <v>10</v>
      </c>
      <c r="D1414">
        <v>1686.9898729419999</v>
      </c>
    </row>
    <row r="1415" spans="1:4">
      <c r="A1415" t="s">
        <v>21</v>
      </c>
      <c r="B1415" t="s">
        <v>12</v>
      </c>
      <c r="C1415" t="s">
        <v>678</v>
      </c>
      <c r="D1415">
        <v>39.118667318999996</v>
      </c>
    </row>
    <row r="1416" spans="1:4">
      <c r="A1416" t="s">
        <v>21</v>
      </c>
      <c r="B1416" t="s">
        <v>12</v>
      </c>
      <c r="C1416" t="s">
        <v>10</v>
      </c>
      <c r="D1416">
        <v>1811.5355088870001</v>
      </c>
    </row>
    <row r="1417" spans="1:4">
      <c r="A1417" t="s">
        <v>21</v>
      </c>
      <c r="B1417" t="s">
        <v>8</v>
      </c>
      <c r="C1417" t="s">
        <v>12</v>
      </c>
      <c r="D1417">
        <v>1850.6541762060001</v>
      </c>
    </row>
    <row r="1418" spans="1:4">
      <c r="A1418" t="s">
        <v>21</v>
      </c>
      <c r="B1418" t="s">
        <v>16</v>
      </c>
      <c r="C1418" t="s">
        <v>678</v>
      </c>
      <c r="D1418">
        <v>410.91640094600001</v>
      </c>
    </row>
    <row r="1419" spans="1:4">
      <c r="A1419" t="s">
        <v>21</v>
      </c>
      <c r="B1419" t="s">
        <v>16</v>
      </c>
      <c r="C1419" t="s">
        <v>10</v>
      </c>
      <c r="D1419">
        <v>20775.189721347</v>
      </c>
    </row>
    <row r="1420" spans="1:4">
      <c r="A1420" t="s">
        <v>21</v>
      </c>
      <c r="B1420" t="s">
        <v>790</v>
      </c>
      <c r="C1420" t="s">
        <v>678</v>
      </c>
      <c r="D1420">
        <v>0</v>
      </c>
    </row>
    <row r="1421" spans="1:4">
      <c r="A1421" t="s">
        <v>21</v>
      </c>
      <c r="B1421" t="s">
        <v>790</v>
      </c>
      <c r="C1421" t="s">
        <v>10</v>
      </c>
      <c r="D1421">
        <v>0</v>
      </c>
    </row>
    <row r="1422" spans="1:4">
      <c r="A1422" t="s">
        <v>21</v>
      </c>
      <c r="B1422" t="s">
        <v>8</v>
      </c>
      <c r="C1422" t="s">
        <v>790</v>
      </c>
      <c r="D1422">
        <v>0</v>
      </c>
    </row>
    <row r="1423" spans="1:4">
      <c r="A1423" t="s">
        <v>21</v>
      </c>
      <c r="B1423" t="s">
        <v>8</v>
      </c>
      <c r="C1423" t="s">
        <v>6</v>
      </c>
      <c r="D1423">
        <v>-7105.0544099999997</v>
      </c>
    </row>
    <row r="1424" spans="1:4">
      <c r="A1424" t="s">
        <v>21</v>
      </c>
      <c r="B1424" t="s">
        <v>15</v>
      </c>
      <c r="C1424" t="s">
        <v>6</v>
      </c>
      <c r="D1424">
        <v>11652.09</v>
      </c>
    </row>
    <row r="1425" spans="1:5">
      <c r="A1425" t="s">
        <v>21</v>
      </c>
      <c r="B1425" t="s">
        <v>5</v>
      </c>
      <c r="C1425" t="s">
        <v>6</v>
      </c>
      <c r="D1425">
        <v>5891.4229999999998</v>
      </c>
    </row>
    <row r="1426" spans="1:5">
      <c r="A1426" t="s">
        <v>21</v>
      </c>
      <c r="B1426" t="s">
        <v>15</v>
      </c>
      <c r="C1426" t="s">
        <v>5</v>
      </c>
      <c r="D1426">
        <v>5891.4229999999998</v>
      </c>
    </row>
    <row r="1427" spans="1:5">
      <c r="A1427" t="s">
        <v>21</v>
      </c>
      <c r="B1427" t="s">
        <v>6</v>
      </c>
      <c r="C1427" t="s">
        <v>8</v>
      </c>
      <c r="D1427">
        <v>0</v>
      </c>
    </row>
    <row r="1428" spans="1:5">
      <c r="A1428" t="s">
        <v>21</v>
      </c>
      <c r="B1428" t="s">
        <v>15</v>
      </c>
      <c r="C1428" t="s">
        <v>16</v>
      </c>
      <c r="D1428">
        <v>1843.43254987</v>
      </c>
    </row>
    <row r="1429" spans="1:5">
      <c r="A1429" t="s">
        <v>21</v>
      </c>
      <c r="B1429" t="s">
        <v>15</v>
      </c>
      <c r="C1429" t="s">
        <v>8</v>
      </c>
      <c r="D1429">
        <v>2.5845000000000002E-4</v>
      </c>
    </row>
    <row r="1430" spans="1:5">
      <c r="A1430" t="s">
        <v>45</v>
      </c>
      <c r="B1430" t="s">
        <v>678</v>
      </c>
      <c r="C1430" t="s">
        <v>678</v>
      </c>
      <c r="D1430">
        <v>205.45769999999999</v>
      </c>
    </row>
    <row r="1431" spans="1:5">
      <c r="A1431" t="s">
        <v>45</v>
      </c>
      <c r="B1431" t="s">
        <v>10</v>
      </c>
      <c r="C1431" t="s">
        <v>678</v>
      </c>
      <c r="D1431">
        <v>789.09460000000001</v>
      </c>
    </row>
    <row r="1432" spans="1:5">
      <c r="A1432" t="s">
        <v>45</v>
      </c>
      <c r="B1432" t="s">
        <v>678</v>
      </c>
      <c r="C1432" t="s">
        <v>10</v>
      </c>
      <c r="D1432">
        <v>1488.8243</v>
      </c>
    </row>
    <row r="1433" spans="1:5">
      <c r="A1433" t="s">
        <v>45</v>
      </c>
      <c r="B1433" t="s">
        <v>10</v>
      </c>
      <c r="C1433" t="s">
        <v>10</v>
      </c>
      <c r="D1433">
        <v>10440.77</v>
      </c>
      <c r="E1433" s="1"/>
    </row>
    <row r="1434" spans="1:5">
      <c r="A1434" t="s">
        <v>45</v>
      </c>
      <c r="B1434" t="s">
        <v>11</v>
      </c>
      <c r="C1434" t="s">
        <v>678</v>
      </c>
      <c r="D1434">
        <v>77.618822221000002</v>
      </c>
    </row>
    <row r="1435" spans="1:5">
      <c r="A1435" t="s">
        <v>45</v>
      </c>
      <c r="B1435" t="s">
        <v>11</v>
      </c>
      <c r="C1435" t="s">
        <v>10</v>
      </c>
      <c r="D1435">
        <v>1008.331677</v>
      </c>
    </row>
    <row r="1436" spans="1:5">
      <c r="A1436" t="s">
        <v>45</v>
      </c>
      <c r="B1436" t="s">
        <v>678</v>
      </c>
      <c r="C1436" t="s">
        <v>6</v>
      </c>
      <c r="D1436">
        <v>576.10983999999996</v>
      </c>
    </row>
    <row r="1437" spans="1:5">
      <c r="A1437" t="s">
        <v>45</v>
      </c>
      <c r="B1437" t="s">
        <v>10</v>
      </c>
      <c r="C1437" t="s">
        <v>6</v>
      </c>
      <c r="D1437">
        <v>10511.4519</v>
      </c>
      <c r="E1437" s="1"/>
    </row>
    <row r="1438" spans="1:5">
      <c r="A1438" t="s">
        <v>45</v>
      </c>
      <c r="B1438" t="s">
        <v>11</v>
      </c>
      <c r="C1438" t="s">
        <v>6</v>
      </c>
      <c r="D1438">
        <v>3660.0333823000001</v>
      </c>
    </row>
    <row r="1439" spans="1:5">
      <c r="A1439" t="s">
        <v>45</v>
      </c>
      <c r="B1439" t="s">
        <v>678</v>
      </c>
      <c r="C1439" t="s">
        <v>8</v>
      </c>
      <c r="D1439">
        <v>133.91314277399999</v>
      </c>
    </row>
    <row r="1440" spans="1:5">
      <c r="A1440" t="s">
        <v>45</v>
      </c>
      <c r="B1440" t="s">
        <v>10</v>
      </c>
      <c r="C1440" t="s">
        <v>8</v>
      </c>
      <c r="D1440">
        <v>2380.4548</v>
      </c>
      <c r="E1440" s="1"/>
    </row>
    <row r="1441" spans="1:5">
      <c r="A1441" t="s">
        <v>45</v>
      </c>
      <c r="B1441" t="s">
        <v>11</v>
      </c>
      <c r="C1441" t="s">
        <v>8</v>
      </c>
      <c r="D1441">
        <v>213.19658440000001</v>
      </c>
    </row>
    <row r="1442" spans="1:5">
      <c r="A1442" t="s">
        <v>45</v>
      </c>
      <c r="B1442" t="s">
        <v>678</v>
      </c>
      <c r="C1442" t="s">
        <v>15</v>
      </c>
      <c r="D1442">
        <v>25.571442000000001</v>
      </c>
    </row>
    <row r="1443" spans="1:5">
      <c r="A1443" t="s">
        <v>45</v>
      </c>
      <c r="B1443" t="s">
        <v>10</v>
      </c>
      <c r="C1443" t="s">
        <v>15</v>
      </c>
      <c r="D1443">
        <v>2132.3114999999998</v>
      </c>
      <c r="E1443" s="1"/>
    </row>
    <row r="1444" spans="1:5">
      <c r="A1444" t="s">
        <v>45</v>
      </c>
      <c r="B1444" t="s">
        <v>11</v>
      </c>
      <c r="C1444" t="s">
        <v>15</v>
      </c>
      <c r="D1444">
        <v>234.134748922</v>
      </c>
    </row>
    <row r="1445" spans="1:5">
      <c r="A1445" t="s">
        <v>45</v>
      </c>
      <c r="B1445" t="s">
        <v>8</v>
      </c>
      <c r="C1445" t="s">
        <v>11</v>
      </c>
      <c r="D1445">
        <v>5193.3152148429999</v>
      </c>
    </row>
    <row r="1446" spans="1:5">
      <c r="A1446" t="s">
        <v>45</v>
      </c>
      <c r="B1446" t="s">
        <v>678</v>
      </c>
      <c r="C1446" t="s">
        <v>7</v>
      </c>
      <c r="D1446">
        <v>0</v>
      </c>
    </row>
    <row r="1447" spans="1:5">
      <c r="A1447" t="s">
        <v>45</v>
      </c>
      <c r="B1447" t="s">
        <v>10</v>
      </c>
      <c r="C1447" t="s">
        <v>7</v>
      </c>
      <c r="D1447">
        <v>0</v>
      </c>
    </row>
    <row r="1448" spans="1:5">
      <c r="A1448" t="s">
        <v>45</v>
      </c>
      <c r="B1448" t="s">
        <v>7</v>
      </c>
      <c r="C1448" t="s">
        <v>8</v>
      </c>
      <c r="D1448">
        <v>0</v>
      </c>
    </row>
    <row r="1449" spans="1:5">
      <c r="A1449" t="s">
        <v>45</v>
      </c>
      <c r="B1449" t="s">
        <v>678</v>
      </c>
      <c r="C1449" t="s">
        <v>16</v>
      </c>
      <c r="D1449">
        <v>358.65257082300002</v>
      </c>
    </row>
    <row r="1450" spans="1:5">
      <c r="A1450" t="s">
        <v>45</v>
      </c>
      <c r="B1450" t="s">
        <v>10</v>
      </c>
      <c r="C1450" t="s">
        <v>16</v>
      </c>
      <c r="D1450">
        <v>3054.5188315969999</v>
      </c>
      <c r="E1450" s="1"/>
    </row>
    <row r="1451" spans="1:5">
      <c r="A1451" t="s">
        <v>45</v>
      </c>
      <c r="B1451" t="s">
        <v>678</v>
      </c>
      <c r="C1451" t="s">
        <v>17</v>
      </c>
      <c r="D1451">
        <v>0</v>
      </c>
    </row>
    <row r="1452" spans="1:5">
      <c r="A1452" t="s">
        <v>45</v>
      </c>
      <c r="B1452" t="s">
        <v>10</v>
      </c>
      <c r="C1452" t="s">
        <v>17</v>
      </c>
      <c r="D1452">
        <v>180.9828</v>
      </c>
    </row>
    <row r="1453" spans="1:5">
      <c r="A1453" t="s">
        <v>45</v>
      </c>
      <c r="B1453" t="s">
        <v>17</v>
      </c>
      <c r="C1453" t="s">
        <v>16</v>
      </c>
      <c r="D1453">
        <v>180.9828</v>
      </c>
    </row>
    <row r="1454" spans="1:5">
      <c r="A1454" t="s">
        <v>45</v>
      </c>
      <c r="B1454" t="s">
        <v>14</v>
      </c>
      <c r="C1454" t="s">
        <v>678</v>
      </c>
      <c r="D1454">
        <v>683.51350000000002</v>
      </c>
    </row>
    <row r="1455" spans="1:5">
      <c r="A1455" t="s">
        <v>45</v>
      </c>
      <c r="B1455" t="s">
        <v>14</v>
      </c>
      <c r="C1455" t="s">
        <v>10</v>
      </c>
      <c r="D1455">
        <v>3434.2460000000001</v>
      </c>
      <c r="E1455" s="1"/>
    </row>
    <row r="1456" spans="1:5">
      <c r="A1456" t="s">
        <v>45</v>
      </c>
      <c r="B1456" t="s">
        <v>6</v>
      </c>
      <c r="C1456" t="s">
        <v>14</v>
      </c>
      <c r="D1456">
        <v>4117.7595000000001</v>
      </c>
      <c r="E1456" s="1"/>
    </row>
    <row r="1457" spans="1:5">
      <c r="A1457" t="s">
        <v>45</v>
      </c>
      <c r="B1457" t="s">
        <v>8</v>
      </c>
      <c r="C1457" t="s">
        <v>14</v>
      </c>
      <c r="D1457">
        <v>0</v>
      </c>
    </row>
    <row r="1458" spans="1:5">
      <c r="A1458" t="s">
        <v>45</v>
      </c>
      <c r="B1458" t="s">
        <v>9</v>
      </c>
      <c r="C1458" t="s">
        <v>678</v>
      </c>
      <c r="D1458">
        <v>416.5917</v>
      </c>
    </row>
    <row r="1459" spans="1:5">
      <c r="A1459" t="s">
        <v>45</v>
      </c>
      <c r="B1459" t="s">
        <v>9</v>
      </c>
      <c r="C1459" t="s">
        <v>10</v>
      </c>
      <c r="D1459">
        <v>4.5414659999999998</v>
      </c>
    </row>
    <row r="1460" spans="1:5">
      <c r="A1460" t="s">
        <v>45</v>
      </c>
      <c r="B1460" t="s">
        <v>6</v>
      </c>
      <c r="C1460" t="s">
        <v>9</v>
      </c>
      <c r="D1460">
        <v>421.13316600000002</v>
      </c>
    </row>
    <row r="1461" spans="1:5">
      <c r="A1461" t="s">
        <v>45</v>
      </c>
      <c r="B1461" t="s">
        <v>13</v>
      </c>
      <c r="C1461" t="s">
        <v>678</v>
      </c>
      <c r="D1461">
        <v>381.19479999999999</v>
      </c>
    </row>
    <row r="1462" spans="1:5">
      <c r="A1462" t="s">
        <v>45</v>
      </c>
      <c r="B1462" t="s">
        <v>13</v>
      </c>
      <c r="C1462" t="s">
        <v>10</v>
      </c>
      <c r="D1462">
        <v>6999.2179999999998</v>
      </c>
      <c r="E1462" s="1"/>
    </row>
    <row r="1463" spans="1:5">
      <c r="A1463" t="s">
        <v>45</v>
      </c>
      <c r="B1463" t="s">
        <v>6</v>
      </c>
      <c r="C1463" t="s">
        <v>13</v>
      </c>
      <c r="D1463">
        <v>7380.4128000000001</v>
      </c>
      <c r="E1463" s="1"/>
    </row>
    <row r="1464" spans="1:5">
      <c r="A1464" t="s">
        <v>45</v>
      </c>
      <c r="B1464" t="s">
        <v>8</v>
      </c>
      <c r="C1464" t="s">
        <v>678</v>
      </c>
      <c r="D1464">
        <v>48.217478602</v>
      </c>
    </row>
    <row r="1465" spans="1:5">
      <c r="A1465" t="s">
        <v>45</v>
      </c>
      <c r="B1465" t="s">
        <v>8</v>
      </c>
      <c r="C1465" t="s">
        <v>10</v>
      </c>
      <c r="D1465">
        <v>445.38808859699998</v>
      </c>
      <c r="E1465" s="1"/>
    </row>
    <row r="1466" spans="1:5">
      <c r="A1466" t="s">
        <v>45</v>
      </c>
      <c r="B1466" t="s">
        <v>12</v>
      </c>
      <c r="C1466" t="s">
        <v>678</v>
      </c>
      <c r="D1466">
        <v>10.522672024</v>
      </c>
    </row>
    <row r="1467" spans="1:5">
      <c r="A1467" t="s">
        <v>45</v>
      </c>
      <c r="B1467" t="s">
        <v>12</v>
      </c>
      <c r="C1467" t="s">
        <v>10</v>
      </c>
      <c r="D1467">
        <v>281.10140544199999</v>
      </c>
    </row>
    <row r="1468" spans="1:5">
      <c r="A1468" t="s">
        <v>45</v>
      </c>
      <c r="B1468" t="s">
        <v>8</v>
      </c>
      <c r="C1468" t="s">
        <v>12</v>
      </c>
      <c r="D1468">
        <v>291.62407746600002</v>
      </c>
    </row>
    <row r="1469" spans="1:5">
      <c r="A1469" t="s">
        <v>45</v>
      </c>
      <c r="B1469" t="s">
        <v>16</v>
      </c>
      <c r="C1469" t="s">
        <v>678</v>
      </c>
      <c r="D1469">
        <v>176.31773637800001</v>
      </c>
    </row>
    <row r="1470" spans="1:5">
      <c r="A1470" t="s">
        <v>45</v>
      </c>
      <c r="B1470" t="s">
        <v>16</v>
      </c>
      <c r="C1470" t="s">
        <v>10</v>
      </c>
      <c r="D1470">
        <v>5387.1630155800003</v>
      </c>
      <c r="E1470" s="1"/>
    </row>
    <row r="1471" spans="1:5">
      <c r="A1471" t="s">
        <v>45</v>
      </c>
      <c r="B1471" t="s">
        <v>790</v>
      </c>
      <c r="C1471" t="s">
        <v>678</v>
      </c>
      <c r="D1471">
        <v>0</v>
      </c>
    </row>
    <row r="1472" spans="1:5">
      <c r="A1472" t="s">
        <v>45</v>
      </c>
      <c r="B1472" t="s">
        <v>790</v>
      </c>
      <c r="C1472" t="s">
        <v>10</v>
      </c>
      <c r="D1472">
        <v>0</v>
      </c>
    </row>
    <row r="1473" spans="1:5">
      <c r="A1473" t="s">
        <v>45</v>
      </c>
      <c r="B1473" t="s">
        <v>8</v>
      </c>
      <c r="C1473" t="s">
        <v>790</v>
      </c>
      <c r="D1473">
        <v>0</v>
      </c>
    </row>
    <row r="1474" spans="1:5">
      <c r="A1474" t="s">
        <v>45</v>
      </c>
      <c r="B1474" t="s">
        <v>8</v>
      </c>
      <c r="C1474" t="s">
        <v>6</v>
      </c>
      <c r="D1474">
        <v>-3250.9821563</v>
      </c>
      <c r="E1474" s="1"/>
    </row>
    <row r="1475" spans="1:5">
      <c r="A1475" t="s">
        <v>45</v>
      </c>
      <c r="B1475" t="s">
        <v>15</v>
      </c>
      <c r="C1475" t="s">
        <v>6</v>
      </c>
      <c r="D1475">
        <v>-966.85850000000005</v>
      </c>
    </row>
    <row r="1476" spans="1:5">
      <c r="A1476" t="s">
        <v>45</v>
      </c>
      <c r="B1476" t="s">
        <v>5</v>
      </c>
      <c r="C1476" t="s">
        <v>6</v>
      </c>
      <c r="D1476">
        <v>1389.5509999999999</v>
      </c>
      <c r="E1476" s="1"/>
    </row>
    <row r="1477" spans="1:5">
      <c r="A1477" t="s">
        <v>45</v>
      </c>
      <c r="B1477" t="s">
        <v>15</v>
      </c>
      <c r="C1477" t="s">
        <v>5</v>
      </c>
      <c r="D1477">
        <v>1389.5509999999999</v>
      </c>
      <c r="E1477" s="1"/>
    </row>
    <row r="1478" spans="1:5">
      <c r="A1478" t="s">
        <v>45</v>
      </c>
      <c r="B1478" t="s">
        <v>6</v>
      </c>
      <c r="C1478" t="s">
        <v>8</v>
      </c>
      <c r="D1478">
        <v>0</v>
      </c>
    </row>
    <row r="1479" spans="1:5">
      <c r="A1479" t="s">
        <v>45</v>
      </c>
      <c r="B1479" t="s">
        <v>15</v>
      </c>
      <c r="C1479" t="s">
        <v>16</v>
      </c>
      <c r="D1479">
        <v>1969.3265495380001</v>
      </c>
    </row>
    <row r="1480" spans="1:5">
      <c r="A1480" t="s">
        <v>45</v>
      </c>
      <c r="B1480" t="s">
        <v>8</v>
      </c>
      <c r="C1480" t="s">
        <v>15</v>
      </c>
      <c r="D1480">
        <v>1.823966E-3</v>
      </c>
      <c r="E1480" s="1"/>
    </row>
    <row r="1481" spans="1:5">
      <c r="A1481" t="s">
        <v>794</v>
      </c>
      <c r="B1481" t="s">
        <v>678</v>
      </c>
      <c r="C1481" t="s">
        <v>678</v>
      </c>
      <c r="D1481">
        <v>86.252711000000005</v>
      </c>
    </row>
    <row r="1482" spans="1:5">
      <c r="A1482" t="s">
        <v>794</v>
      </c>
      <c r="B1482" t="s">
        <v>10</v>
      </c>
      <c r="C1482" t="s">
        <v>678</v>
      </c>
      <c r="D1482">
        <v>332.68666999999999</v>
      </c>
    </row>
    <row r="1483" spans="1:5">
      <c r="A1483" t="s">
        <v>794</v>
      </c>
      <c r="B1483" t="s">
        <v>678</v>
      </c>
      <c r="C1483" t="s">
        <v>10</v>
      </c>
      <c r="D1483">
        <v>497.93774999999999</v>
      </c>
    </row>
    <row r="1484" spans="1:5">
      <c r="A1484" t="s">
        <v>794</v>
      </c>
      <c r="B1484" t="s">
        <v>10</v>
      </c>
      <c r="C1484" t="s">
        <v>10</v>
      </c>
      <c r="D1484">
        <v>5859.6232</v>
      </c>
      <c r="E1484" s="1"/>
    </row>
    <row r="1485" spans="1:5">
      <c r="A1485" t="s">
        <v>794</v>
      </c>
      <c r="B1485" t="s">
        <v>11</v>
      </c>
      <c r="C1485" t="s">
        <v>678</v>
      </c>
      <c r="D1485">
        <v>29.953091651000001</v>
      </c>
    </row>
    <row r="1486" spans="1:5">
      <c r="A1486" t="s">
        <v>794</v>
      </c>
      <c r="B1486" t="s">
        <v>11</v>
      </c>
      <c r="C1486" t="s">
        <v>10</v>
      </c>
      <c r="D1486">
        <v>305.68630519999999</v>
      </c>
    </row>
    <row r="1487" spans="1:5">
      <c r="A1487" t="s">
        <v>794</v>
      </c>
      <c r="B1487" t="s">
        <v>678</v>
      </c>
      <c r="C1487" t="s">
        <v>6</v>
      </c>
      <c r="D1487">
        <v>276.51211000000001</v>
      </c>
    </row>
    <row r="1488" spans="1:5">
      <c r="A1488" t="s">
        <v>794</v>
      </c>
      <c r="B1488" t="s">
        <v>10</v>
      </c>
      <c r="C1488" t="s">
        <v>6</v>
      </c>
      <c r="D1488">
        <v>7509.009</v>
      </c>
      <c r="E1488" s="1"/>
    </row>
    <row r="1489" spans="1:5">
      <c r="A1489" t="s">
        <v>794</v>
      </c>
      <c r="B1489" t="s">
        <v>11</v>
      </c>
      <c r="C1489" t="s">
        <v>6</v>
      </c>
      <c r="D1489">
        <v>204.31160854699999</v>
      </c>
    </row>
    <row r="1490" spans="1:5">
      <c r="A1490" t="s">
        <v>794</v>
      </c>
      <c r="B1490" t="s">
        <v>678</v>
      </c>
      <c r="C1490" t="s">
        <v>8</v>
      </c>
      <c r="D1490">
        <v>14.460482499999999</v>
      </c>
    </row>
    <row r="1491" spans="1:5">
      <c r="A1491" t="s">
        <v>794</v>
      </c>
      <c r="B1491" t="s">
        <v>10</v>
      </c>
      <c r="C1491" t="s">
        <v>8</v>
      </c>
      <c r="D1491">
        <v>1267.3244999999999</v>
      </c>
      <c r="E1491" s="1"/>
    </row>
    <row r="1492" spans="1:5">
      <c r="A1492" t="s">
        <v>794</v>
      </c>
      <c r="B1492" t="s">
        <v>11</v>
      </c>
      <c r="C1492" t="s">
        <v>8</v>
      </c>
      <c r="D1492">
        <v>23.1745576</v>
      </c>
    </row>
    <row r="1493" spans="1:5">
      <c r="A1493" t="s">
        <v>794</v>
      </c>
      <c r="B1493" t="s">
        <v>678</v>
      </c>
      <c r="C1493" t="s">
        <v>15</v>
      </c>
      <c r="D1493">
        <v>30.316855</v>
      </c>
    </row>
    <row r="1494" spans="1:5">
      <c r="A1494" t="s">
        <v>794</v>
      </c>
      <c r="B1494" t="s">
        <v>10</v>
      </c>
      <c r="C1494" t="s">
        <v>15</v>
      </c>
      <c r="D1494">
        <v>2367.0832999999998</v>
      </c>
      <c r="E1494" s="1"/>
    </row>
    <row r="1495" spans="1:5">
      <c r="A1495" t="s">
        <v>794</v>
      </c>
      <c r="B1495" t="s">
        <v>11</v>
      </c>
      <c r="C1495" t="s">
        <v>15</v>
      </c>
      <c r="D1495">
        <v>137.257912092</v>
      </c>
    </row>
    <row r="1496" spans="1:5">
      <c r="A1496" t="s">
        <v>794</v>
      </c>
      <c r="B1496" t="s">
        <v>8</v>
      </c>
      <c r="C1496" t="s">
        <v>11</v>
      </c>
      <c r="D1496">
        <v>700.38347509000005</v>
      </c>
    </row>
    <row r="1497" spans="1:5">
      <c r="A1497" t="s">
        <v>794</v>
      </c>
      <c r="B1497" t="s">
        <v>678</v>
      </c>
      <c r="C1497" t="s">
        <v>7</v>
      </c>
      <c r="D1497">
        <v>0</v>
      </c>
    </row>
    <row r="1498" spans="1:5">
      <c r="A1498" t="s">
        <v>794</v>
      </c>
      <c r="B1498" t="s">
        <v>10</v>
      </c>
      <c r="C1498" t="s">
        <v>7</v>
      </c>
      <c r="D1498">
        <v>0</v>
      </c>
    </row>
    <row r="1499" spans="1:5">
      <c r="A1499" t="s">
        <v>794</v>
      </c>
      <c r="B1499" t="s">
        <v>7</v>
      </c>
      <c r="C1499" t="s">
        <v>8</v>
      </c>
      <c r="D1499">
        <v>0</v>
      </c>
    </row>
    <row r="1500" spans="1:5">
      <c r="A1500" t="s">
        <v>794</v>
      </c>
      <c r="B1500" t="s">
        <v>678</v>
      </c>
      <c r="C1500" t="s">
        <v>16</v>
      </c>
      <c r="D1500">
        <v>462.61249825300001</v>
      </c>
    </row>
    <row r="1501" spans="1:5">
      <c r="A1501" t="s">
        <v>794</v>
      </c>
      <c r="B1501" t="s">
        <v>10</v>
      </c>
      <c r="C1501" t="s">
        <v>16</v>
      </c>
      <c r="D1501">
        <v>3632.7936109699999</v>
      </c>
      <c r="E1501" s="1"/>
    </row>
    <row r="1502" spans="1:5">
      <c r="A1502" t="s">
        <v>794</v>
      </c>
      <c r="B1502" t="s">
        <v>678</v>
      </c>
      <c r="C1502" t="s">
        <v>17</v>
      </c>
      <c r="D1502">
        <v>0</v>
      </c>
    </row>
    <row r="1503" spans="1:5">
      <c r="A1503" t="s">
        <v>794</v>
      </c>
      <c r="B1503" t="s">
        <v>10</v>
      </c>
      <c r="C1503" t="s">
        <v>17</v>
      </c>
      <c r="D1503">
        <v>65.545100000000005</v>
      </c>
    </row>
    <row r="1504" spans="1:5">
      <c r="A1504" t="s">
        <v>794</v>
      </c>
      <c r="B1504" t="s">
        <v>17</v>
      </c>
      <c r="C1504" t="s">
        <v>16</v>
      </c>
      <c r="D1504">
        <v>65.545100000000005</v>
      </c>
    </row>
    <row r="1505" spans="1:5">
      <c r="A1505" t="s">
        <v>794</v>
      </c>
      <c r="B1505" t="s">
        <v>14</v>
      </c>
      <c r="C1505" t="s">
        <v>678</v>
      </c>
      <c r="D1505">
        <v>364.40899999999999</v>
      </c>
    </row>
    <row r="1506" spans="1:5">
      <c r="A1506" t="s">
        <v>794</v>
      </c>
      <c r="B1506" t="s">
        <v>14</v>
      </c>
      <c r="C1506" t="s">
        <v>10</v>
      </c>
      <c r="D1506">
        <v>2771.2040000000002</v>
      </c>
      <c r="E1506" s="1"/>
    </row>
    <row r="1507" spans="1:5">
      <c r="A1507" t="s">
        <v>794</v>
      </c>
      <c r="B1507" t="s">
        <v>6</v>
      </c>
      <c r="C1507" t="s">
        <v>14</v>
      </c>
      <c r="D1507">
        <v>3135.6129999999998</v>
      </c>
      <c r="E1507" s="1"/>
    </row>
    <row r="1508" spans="1:5">
      <c r="A1508" t="s">
        <v>794</v>
      </c>
      <c r="B1508" t="s">
        <v>8</v>
      </c>
      <c r="C1508" t="s">
        <v>14</v>
      </c>
      <c r="D1508">
        <v>0</v>
      </c>
    </row>
    <row r="1509" spans="1:5">
      <c r="A1509" t="s">
        <v>794</v>
      </c>
      <c r="B1509" t="s">
        <v>9</v>
      </c>
      <c r="C1509" t="s">
        <v>678</v>
      </c>
      <c r="D1509">
        <v>222.27619000000001</v>
      </c>
    </row>
    <row r="1510" spans="1:5">
      <c r="A1510" t="s">
        <v>794</v>
      </c>
      <c r="B1510" t="s">
        <v>9</v>
      </c>
      <c r="C1510" t="s">
        <v>10</v>
      </c>
      <c r="D1510">
        <v>73.949309999999997</v>
      </c>
    </row>
    <row r="1511" spans="1:5">
      <c r="A1511" t="s">
        <v>794</v>
      </c>
      <c r="B1511" t="s">
        <v>6</v>
      </c>
      <c r="C1511" t="s">
        <v>9</v>
      </c>
      <c r="D1511">
        <v>296.22550000000001</v>
      </c>
    </row>
    <row r="1512" spans="1:5">
      <c r="A1512" t="s">
        <v>794</v>
      </c>
      <c r="B1512" t="s">
        <v>13</v>
      </c>
      <c r="C1512" t="s">
        <v>678</v>
      </c>
      <c r="D1512">
        <v>216.46559999999999</v>
      </c>
    </row>
    <row r="1513" spans="1:5">
      <c r="A1513" t="s">
        <v>794</v>
      </c>
      <c r="B1513" t="s">
        <v>13</v>
      </c>
      <c r="C1513" t="s">
        <v>10</v>
      </c>
      <c r="D1513">
        <v>4961.2749999999996</v>
      </c>
      <c r="E1513" s="1"/>
    </row>
    <row r="1514" spans="1:5">
      <c r="A1514" t="s">
        <v>794</v>
      </c>
      <c r="B1514" t="s">
        <v>6</v>
      </c>
      <c r="C1514" t="s">
        <v>13</v>
      </c>
      <c r="D1514">
        <v>5177.7406000000001</v>
      </c>
      <c r="E1514" s="1"/>
    </row>
    <row r="1515" spans="1:5">
      <c r="A1515" t="s">
        <v>794</v>
      </c>
      <c r="B1515" t="s">
        <v>8</v>
      </c>
      <c r="C1515" t="s">
        <v>678</v>
      </c>
      <c r="D1515">
        <v>13.523295601999999</v>
      </c>
    </row>
    <row r="1516" spans="1:5">
      <c r="A1516" t="s">
        <v>794</v>
      </c>
      <c r="B1516" t="s">
        <v>8</v>
      </c>
      <c r="C1516" t="s">
        <v>10</v>
      </c>
      <c r="D1516">
        <v>156.06874576999999</v>
      </c>
      <c r="E1516" s="1"/>
    </row>
    <row r="1517" spans="1:5">
      <c r="A1517" t="s">
        <v>794</v>
      </c>
      <c r="B1517" t="s">
        <v>12</v>
      </c>
      <c r="C1517" t="s">
        <v>678</v>
      </c>
      <c r="D1517">
        <v>3.3293378929999999</v>
      </c>
    </row>
    <row r="1518" spans="1:5">
      <c r="A1518" t="s">
        <v>794</v>
      </c>
      <c r="B1518" t="s">
        <v>12</v>
      </c>
      <c r="C1518" t="s">
        <v>10</v>
      </c>
      <c r="D1518">
        <v>619.63828058399997</v>
      </c>
    </row>
    <row r="1519" spans="1:5">
      <c r="A1519" t="s">
        <v>794</v>
      </c>
      <c r="B1519" t="s">
        <v>8</v>
      </c>
      <c r="C1519" t="s">
        <v>12</v>
      </c>
      <c r="D1519">
        <v>622.96761847699997</v>
      </c>
    </row>
    <row r="1520" spans="1:5">
      <c r="A1520" t="s">
        <v>794</v>
      </c>
      <c r="B1520" t="s">
        <v>16</v>
      </c>
      <c r="C1520" t="s">
        <v>678</v>
      </c>
      <c r="D1520">
        <v>99.196503019000005</v>
      </c>
    </row>
    <row r="1521" spans="1:5">
      <c r="A1521" t="s">
        <v>794</v>
      </c>
      <c r="B1521" t="s">
        <v>16</v>
      </c>
      <c r="C1521" t="s">
        <v>10</v>
      </c>
      <c r="D1521">
        <v>5788.6830320540003</v>
      </c>
      <c r="E1521" s="1"/>
    </row>
    <row r="1522" spans="1:5">
      <c r="A1522" t="s">
        <v>794</v>
      </c>
      <c r="B1522" t="s">
        <v>790</v>
      </c>
      <c r="C1522" t="s">
        <v>678</v>
      </c>
      <c r="D1522">
        <v>0</v>
      </c>
    </row>
    <row r="1523" spans="1:5">
      <c r="A1523" t="s">
        <v>794</v>
      </c>
      <c r="B1523" t="s">
        <v>790</v>
      </c>
      <c r="C1523" t="s">
        <v>10</v>
      </c>
      <c r="D1523">
        <v>0</v>
      </c>
    </row>
    <row r="1524" spans="1:5">
      <c r="A1524" t="s">
        <v>794</v>
      </c>
      <c r="B1524" t="s">
        <v>8</v>
      </c>
      <c r="C1524" t="s">
        <v>790</v>
      </c>
      <c r="D1524">
        <v>0</v>
      </c>
    </row>
    <row r="1525" spans="1:5">
      <c r="A1525" t="s">
        <v>794</v>
      </c>
      <c r="B1525" t="s">
        <v>8</v>
      </c>
      <c r="C1525" t="s">
        <v>6</v>
      </c>
      <c r="D1525">
        <v>-187.98361854699999</v>
      </c>
      <c r="E1525" s="1"/>
    </row>
    <row r="1526" spans="1:5">
      <c r="A1526" t="s">
        <v>794</v>
      </c>
      <c r="B1526" t="s">
        <v>15</v>
      </c>
      <c r="C1526" t="s">
        <v>6</v>
      </c>
      <c r="D1526">
        <v>-542.46400000000006</v>
      </c>
      <c r="E1526" s="1"/>
    </row>
    <row r="1527" spans="1:5">
      <c r="A1527" t="s">
        <v>794</v>
      </c>
      <c r="B1527" t="s">
        <v>5</v>
      </c>
      <c r="C1527" t="s">
        <v>6</v>
      </c>
      <c r="D1527">
        <v>1350.194</v>
      </c>
      <c r="E1527" s="1"/>
    </row>
    <row r="1528" spans="1:5">
      <c r="A1528" t="s">
        <v>794</v>
      </c>
      <c r="B1528" t="s">
        <v>15</v>
      </c>
      <c r="C1528" t="s">
        <v>5</v>
      </c>
      <c r="D1528">
        <v>1350.194</v>
      </c>
      <c r="E1528" s="1"/>
    </row>
    <row r="1529" spans="1:5">
      <c r="A1529" t="s">
        <v>794</v>
      </c>
      <c r="B1529" t="s">
        <v>6</v>
      </c>
      <c r="C1529" t="s">
        <v>8</v>
      </c>
      <c r="D1529">
        <v>0</v>
      </c>
    </row>
    <row r="1530" spans="1:5">
      <c r="A1530" t="s">
        <v>794</v>
      </c>
      <c r="B1530" t="s">
        <v>15</v>
      </c>
      <c r="C1530" t="s">
        <v>16</v>
      </c>
      <c r="D1530">
        <v>1726.92832585</v>
      </c>
    </row>
    <row r="1531" spans="1:5">
      <c r="A1531" t="s">
        <v>794</v>
      </c>
      <c r="B1531" t="s">
        <v>8</v>
      </c>
      <c r="C1531" t="s">
        <v>15</v>
      </c>
      <c r="D1531">
        <v>2.3708000000000001E-5</v>
      </c>
      <c r="E1531" s="1"/>
    </row>
    <row r="1532" spans="1:5">
      <c r="A1532" t="s">
        <v>328</v>
      </c>
      <c r="B1532" t="s">
        <v>678</v>
      </c>
      <c r="C1532" t="s">
        <v>678</v>
      </c>
      <c r="D1532">
        <v>148.61745999999999</v>
      </c>
    </row>
    <row r="1533" spans="1:5">
      <c r="A1533" t="s">
        <v>328</v>
      </c>
      <c r="B1533" t="s">
        <v>10</v>
      </c>
      <c r="C1533" t="s">
        <v>678</v>
      </c>
      <c r="D1533">
        <v>2667.8465000000001</v>
      </c>
    </row>
    <row r="1534" spans="1:5">
      <c r="A1534" t="s">
        <v>328</v>
      </c>
      <c r="B1534" t="s">
        <v>678</v>
      </c>
      <c r="C1534" t="s">
        <v>10</v>
      </c>
      <c r="D1534">
        <v>5521.6210000000001</v>
      </c>
    </row>
    <row r="1535" spans="1:5">
      <c r="A1535" t="s">
        <v>328</v>
      </c>
      <c r="B1535" t="s">
        <v>10</v>
      </c>
      <c r="C1535" t="s">
        <v>10</v>
      </c>
      <c r="D1535">
        <v>162498.26</v>
      </c>
      <c r="E1535" s="1"/>
    </row>
    <row r="1536" spans="1:5">
      <c r="A1536" t="s">
        <v>328</v>
      </c>
      <c r="B1536" t="s">
        <v>11</v>
      </c>
      <c r="C1536" t="s">
        <v>678</v>
      </c>
      <c r="D1536">
        <v>1318.464361759</v>
      </c>
    </row>
    <row r="1537" spans="1:4">
      <c r="A1537" t="s">
        <v>328</v>
      </c>
      <c r="B1537" t="s">
        <v>11</v>
      </c>
      <c r="C1537" t="s">
        <v>10</v>
      </c>
      <c r="D1537">
        <v>22480.050039000002</v>
      </c>
    </row>
    <row r="1538" spans="1:4">
      <c r="A1538" t="s">
        <v>328</v>
      </c>
      <c r="B1538" t="s">
        <v>678</v>
      </c>
      <c r="C1538" t="s">
        <v>6</v>
      </c>
      <c r="D1538">
        <v>1521.8594000000001</v>
      </c>
    </row>
    <row r="1539" spans="1:4">
      <c r="A1539" t="s">
        <v>328</v>
      </c>
      <c r="B1539" t="s">
        <v>10</v>
      </c>
      <c r="C1539" t="s">
        <v>6</v>
      </c>
      <c r="D1539">
        <v>82338.320000000007</v>
      </c>
    </row>
    <row r="1540" spans="1:4">
      <c r="A1540" t="s">
        <v>328</v>
      </c>
      <c r="B1540" t="s">
        <v>11</v>
      </c>
      <c r="C1540" t="s">
        <v>6</v>
      </c>
      <c r="D1540">
        <v>31992.521840000001</v>
      </c>
    </row>
    <row r="1541" spans="1:4">
      <c r="A1541" t="s">
        <v>328</v>
      </c>
      <c r="B1541" t="s">
        <v>678</v>
      </c>
      <c r="C1541" t="s">
        <v>8</v>
      </c>
      <c r="D1541">
        <v>1.2390701E-2</v>
      </c>
    </row>
    <row r="1542" spans="1:4">
      <c r="A1542" t="s">
        <v>328</v>
      </c>
      <c r="B1542" t="s">
        <v>10</v>
      </c>
      <c r="C1542" t="s">
        <v>8</v>
      </c>
      <c r="D1542">
        <v>39196.745770000001</v>
      </c>
    </row>
    <row r="1543" spans="1:4">
      <c r="A1543" t="s">
        <v>328</v>
      </c>
      <c r="B1543" t="s">
        <v>11</v>
      </c>
      <c r="C1543" t="s">
        <v>8</v>
      </c>
      <c r="D1543">
        <v>0</v>
      </c>
    </row>
    <row r="1544" spans="1:4">
      <c r="A1544" t="s">
        <v>328</v>
      </c>
      <c r="B1544" t="s">
        <v>678</v>
      </c>
      <c r="C1544" t="s">
        <v>15</v>
      </c>
      <c r="D1544">
        <v>128.01104000000001</v>
      </c>
    </row>
    <row r="1545" spans="1:4">
      <c r="A1545" t="s">
        <v>328</v>
      </c>
      <c r="B1545" t="s">
        <v>10</v>
      </c>
      <c r="C1545" t="s">
        <v>15</v>
      </c>
      <c r="D1545">
        <v>47354.57</v>
      </c>
    </row>
    <row r="1546" spans="1:4">
      <c r="A1546" t="s">
        <v>328</v>
      </c>
      <c r="B1546" t="s">
        <v>11</v>
      </c>
      <c r="C1546" t="s">
        <v>15</v>
      </c>
      <c r="D1546">
        <v>1893.3611390000001</v>
      </c>
    </row>
    <row r="1547" spans="1:4">
      <c r="A1547" t="s">
        <v>328</v>
      </c>
      <c r="B1547" t="s">
        <v>8</v>
      </c>
      <c r="C1547" t="s">
        <v>11</v>
      </c>
      <c r="D1547">
        <v>57684.397379759001</v>
      </c>
    </row>
    <row r="1548" spans="1:4">
      <c r="A1548" t="s">
        <v>328</v>
      </c>
      <c r="B1548" t="s">
        <v>678</v>
      </c>
      <c r="C1548" t="s">
        <v>7</v>
      </c>
      <c r="D1548">
        <v>9.3042182449999995</v>
      </c>
    </row>
    <row r="1549" spans="1:4">
      <c r="A1549" t="s">
        <v>328</v>
      </c>
      <c r="B1549" t="s">
        <v>10</v>
      </c>
      <c r="C1549" t="s">
        <v>7</v>
      </c>
      <c r="D1549">
        <v>179.52386168199999</v>
      </c>
    </row>
    <row r="1550" spans="1:4">
      <c r="A1550" t="s">
        <v>328</v>
      </c>
      <c r="B1550" t="s">
        <v>7</v>
      </c>
      <c r="C1550" t="s">
        <v>8</v>
      </c>
      <c r="D1550">
        <v>188.828079927</v>
      </c>
    </row>
    <row r="1551" spans="1:4">
      <c r="A1551" t="s">
        <v>328</v>
      </c>
      <c r="B1551" t="s">
        <v>678</v>
      </c>
      <c r="C1551" t="s">
        <v>16</v>
      </c>
      <c r="D1551">
        <v>921.26815666000005</v>
      </c>
    </row>
    <row r="1552" spans="1:4">
      <c r="A1552" t="s">
        <v>328</v>
      </c>
      <c r="B1552" t="s">
        <v>10</v>
      </c>
      <c r="C1552" t="s">
        <v>16</v>
      </c>
      <c r="D1552">
        <v>72034.613526390996</v>
      </c>
    </row>
    <row r="1553" spans="1:5">
      <c r="A1553" t="s">
        <v>328</v>
      </c>
      <c r="B1553" t="s">
        <v>678</v>
      </c>
      <c r="C1553" t="s">
        <v>17</v>
      </c>
      <c r="D1553">
        <v>0</v>
      </c>
    </row>
    <row r="1554" spans="1:5">
      <c r="A1554" t="s">
        <v>328</v>
      </c>
      <c r="B1554" t="s">
        <v>10</v>
      </c>
      <c r="C1554" t="s">
        <v>17</v>
      </c>
      <c r="D1554">
        <v>3530.739</v>
      </c>
    </row>
    <row r="1555" spans="1:5">
      <c r="A1555" t="s">
        <v>328</v>
      </c>
      <c r="B1555" t="s">
        <v>17</v>
      </c>
      <c r="C1555" t="s">
        <v>16</v>
      </c>
      <c r="D1555">
        <v>3530.739</v>
      </c>
    </row>
    <row r="1556" spans="1:5">
      <c r="A1556" t="s">
        <v>328</v>
      </c>
      <c r="B1556" t="s">
        <v>14</v>
      </c>
      <c r="C1556" t="s">
        <v>678</v>
      </c>
      <c r="D1556">
        <v>1562.636</v>
      </c>
    </row>
    <row r="1557" spans="1:5">
      <c r="A1557" t="s">
        <v>328</v>
      </c>
      <c r="B1557" t="s">
        <v>14</v>
      </c>
      <c r="C1557" t="s">
        <v>10</v>
      </c>
      <c r="D1557">
        <v>63609.67</v>
      </c>
    </row>
    <row r="1558" spans="1:5">
      <c r="A1558" t="s">
        <v>328</v>
      </c>
      <c r="B1558" t="s">
        <v>6</v>
      </c>
      <c r="C1558" t="s">
        <v>14</v>
      </c>
      <c r="D1558">
        <v>65172.305999999997</v>
      </c>
      <c r="E1558" s="1"/>
    </row>
    <row r="1559" spans="1:5">
      <c r="A1559" t="s">
        <v>328</v>
      </c>
      <c r="B1559" t="s">
        <v>8</v>
      </c>
      <c r="C1559" t="s">
        <v>14</v>
      </c>
      <c r="D1559">
        <v>0</v>
      </c>
    </row>
    <row r="1560" spans="1:5">
      <c r="A1560" t="s">
        <v>328</v>
      </c>
      <c r="B1560" t="s">
        <v>9</v>
      </c>
      <c r="C1560" t="s">
        <v>678</v>
      </c>
      <c r="D1560">
        <v>326.62065000000001</v>
      </c>
    </row>
    <row r="1561" spans="1:5">
      <c r="A1561" t="s">
        <v>328</v>
      </c>
      <c r="B1561" t="s">
        <v>9</v>
      </c>
      <c r="C1561" t="s">
        <v>10</v>
      </c>
      <c r="D1561">
        <v>467.68150000000003</v>
      </c>
    </row>
    <row r="1562" spans="1:5">
      <c r="A1562" t="s">
        <v>328</v>
      </c>
      <c r="B1562" t="s">
        <v>6</v>
      </c>
      <c r="C1562" t="s">
        <v>9</v>
      </c>
      <c r="D1562">
        <v>794.30214999999998</v>
      </c>
    </row>
    <row r="1563" spans="1:5">
      <c r="A1563" t="s">
        <v>328</v>
      </c>
      <c r="B1563" t="s">
        <v>13</v>
      </c>
      <c r="C1563" t="s">
        <v>678</v>
      </c>
      <c r="D1563">
        <v>764.9298</v>
      </c>
    </row>
    <row r="1564" spans="1:5">
      <c r="A1564" t="s">
        <v>328</v>
      </c>
      <c r="B1564" t="s">
        <v>13</v>
      </c>
      <c r="C1564" t="s">
        <v>10</v>
      </c>
      <c r="D1564">
        <v>65624.56</v>
      </c>
    </row>
    <row r="1565" spans="1:5">
      <c r="A1565" t="s">
        <v>328</v>
      </c>
      <c r="B1565" t="s">
        <v>6</v>
      </c>
      <c r="C1565" t="s">
        <v>13</v>
      </c>
      <c r="D1565">
        <v>66389.489799999996</v>
      </c>
    </row>
    <row r="1566" spans="1:5">
      <c r="A1566" t="s">
        <v>328</v>
      </c>
      <c r="B1566" t="s">
        <v>8</v>
      </c>
      <c r="C1566" t="s">
        <v>678</v>
      </c>
      <c r="D1566">
        <v>-570.555621804</v>
      </c>
    </row>
    <row r="1567" spans="1:5">
      <c r="A1567" t="s">
        <v>328</v>
      </c>
      <c r="B1567" t="s">
        <v>8</v>
      </c>
      <c r="C1567" t="s">
        <v>10</v>
      </c>
      <c r="D1567">
        <v>7096.8008490729999</v>
      </c>
      <c r="E1567" s="1"/>
    </row>
    <row r="1568" spans="1:5">
      <c r="A1568" t="s">
        <v>328</v>
      </c>
      <c r="B1568" t="s">
        <v>12</v>
      </c>
      <c r="C1568" t="s">
        <v>678</v>
      </c>
      <c r="D1568">
        <v>17.464432510999998</v>
      </c>
    </row>
    <row r="1569" spans="1:5">
      <c r="A1569" t="s">
        <v>328</v>
      </c>
      <c r="B1569" t="s">
        <v>12</v>
      </c>
      <c r="C1569" t="s">
        <v>10</v>
      </c>
      <c r="D1569">
        <v>667.00568254899997</v>
      </c>
    </row>
    <row r="1570" spans="1:5">
      <c r="A1570" t="s">
        <v>328</v>
      </c>
      <c r="B1570" t="s">
        <v>8</v>
      </c>
      <c r="C1570" t="s">
        <v>12</v>
      </c>
      <c r="D1570">
        <v>684.47011506000001</v>
      </c>
    </row>
    <row r="1571" spans="1:5">
      <c r="A1571" t="s">
        <v>328</v>
      </c>
      <c r="B1571" t="s">
        <v>16</v>
      </c>
      <c r="C1571" t="s">
        <v>678</v>
      </c>
      <c r="D1571">
        <v>2014.669660564</v>
      </c>
    </row>
    <row r="1572" spans="1:5">
      <c r="A1572" t="s">
        <v>328</v>
      </c>
      <c r="B1572" t="s">
        <v>16</v>
      </c>
      <c r="C1572" t="s">
        <v>10</v>
      </c>
      <c r="D1572">
        <v>81834.971097387999</v>
      </c>
    </row>
    <row r="1573" spans="1:5">
      <c r="A1573" t="s">
        <v>328</v>
      </c>
      <c r="B1573" t="s">
        <v>790</v>
      </c>
      <c r="C1573" t="s">
        <v>678</v>
      </c>
      <c r="D1573">
        <v>0</v>
      </c>
    </row>
    <row r="1574" spans="1:5">
      <c r="A1574" t="s">
        <v>328</v>
      </c>
      <c r="B1574" t="s">
        <v>790</v>
      </c>
      <c r="C1574" t="s">
        <v>10</v>
      </c>
      <c r="D1574">
        <v>0</v>
      </c>
    </row>
    <row r="1575" spans="1:5">
      <c r="A1575" t="s">
        <v>328</v>
      </c>
      <c r="B1575" t="s">
        <v>8</v>
      </c>
      <c r="C1575" t="s">
        <v>790</v>
      </c>
      <c r="D1575">
        <v>0</v>
      </c>
    </row>
    <row r="1576" spans="1:5">
      <c r="A1576" t="s">
        <v>328</v>
      </c>
      <c r="B1576" t="s">
        <v>8</v>
      </c>
      <c r="C1576" t="s">
        <v>6</v>
      </c>
      <c r="D1576">
        <v>-25509.55329</v>
      </c>
    </row>
    <row r="1577" spans="1:5">
      <c r="A1577" t="s">
        <v>328</v>
      </c>
      <c r="B1577" t="s">
        <v>15</v>
      </c>
      <c r="C1577" t="s">
        <v>6</v>
      </c>
      <c r="D1577">
        <v>14520.8</v>
      </c>
    </row>
    <row r="1578" spans="1:5">
      <c r="A1578" t="s">
        <v>328</v>
      </c>
      <c r="B1578" t="s">
        <v>5</v>
      </c>
      <c r="C1578" t="s">
        <v>6</v>
      </c>
      <c r="D1578">
        <v>27492.15</v>
      </c>
    </row>
    <row r="1579" spans="1:5">
      <c r="A1579" t="s">
        <v>328</v>
      </c>
      <c r="B1579" t="s">
        <v>15</v>
      </c>
      <c r="C1579" t="s">
        <v>5</v>
      </c>
      <c r="D1579">
        <v>27492.15</v>
      </c>
    </row>
    <row r="1580" spans="1:5">
      <c r="A1580" t="s">
        <v>328</v>
      </c>
      <c r="B1580" t="s">
        <v>6</v>
      </c>
      <c r="C1580" t="s">
        <v>8</v>
      </c>
      <c r="D1580">
        <v>0</v>
      </c>
    </row>
    <row r="1581" spans="1:5">
      <c r="A1581" t="s">
        <v>328</v>
      </c>
      <c r="B1581" t="s">
        <v>15</v>
      </c>
      <c r="C1581" t="s">
        <v>16</v>
      </c>
      <c r="D1581">
        <v>7363.0200748999996</v>
      </c>
    </row>
    <row r="1582" spans="1:5">
      <c r="A1582" t="s">
        <v>328</v>
      </c>
      <c r="B1582" t="s">
        <v>8</v>
      </c>
      <c r="C1582" t="s">
        <v>15</v>
      </c>
      <c r="D1582">
        <v>2.6808538999999999E-2</v>
      </c>
      <c r="E1582" s="1"/>
    </row>
    <row r="1583" spans="1:5">
      <c r="A1583" t="s">
        <v>25</v>
      </c>
      <c r="B1583" t="s">
        <v>678</v>
      </c>
      <c r="C1583" t="s">
        <v>678</v>
      </c>
      <c r="D1583">
        <v>1283.8723</v>
      </c>
    </row>
    <row r="1584" spans="1:5">
      <c r="A1584" t="s">
        <v>25</v>
      </c>
      <c r="B1584" t="s">
        <v>10</v>
      </c>
      <c r="C1584" t="s">
        <v>678</v>
      </c>
      <c r="D1584">
        <v>4958.884</v>
      </c>
    </row>
    <row r="1585" spans="1:5">
      <c r="A1585" t="s">
        <v>25</v>
      </c>
      <c r="B1585" t="s">
        <v>678</v>
      </c>
      <c r="C1585" t="s">
        <v>10</v>
      </c>
      <c r="D1585">
        <v>8207.5669999999991</v>
      </c>
    </row>
    <row r="1586" spans="1:5">
      <c r="A1586" t="s">
        <v>25</v>
      </c>
      <c r="B1586" t="s">
        <v>10</v>
      </c>
      <c r="C1586" t="s">
        <v>10</v>
      </c>
      <c r="D1586">
        <v>109723.81</v>
      </c>
      <c r="E1586" s="1"/>
    </row>
    <row r="1587" spans="1:5">
      <c r="A1587" t="s">
        <v>25</v>
      </c>
      <c r="B1587" t="s">
        <v>11</v>
      </c>
      <c r="C1587" t="s">
        <v>678</v>
      </c>
      <c r="D1587">
        <v>775.78623289999996</v>
      </c>
    </row>
    <row r="1588" spans="1:5">
      <c r="A1588" t="s">
        <v>25</v>
      </c>
      <c r="B1588" t="s">
        <v>11</v>
      </c>
      <c r="C1588" t="s">
        <v>10</v>
      </c>
      <c r="D1588">
        <v>8703.0478600000006</v>
      </c>
    </row>
    <row r="1589" spans="1:5">
      <c r="A1589" t="s">
        <v>25</v>
      </c>
      <c r="B1589" t="s">
        <v>678</v>
      </c>
      <c r="C1589" t="s">
        <v>6</v>
      </c>
      <c r="D1589">
        <v>1218.4709</v>
      </c>
    </row>
    <row r="1590" spans="1:5">
      <c r="A1590" t="s">
        <v>25</v>
      </c>
      <c r="B1590" t="s">
        <v>10</v>
      </c>
      <c r="C1590" t="s">
        <v>6</v>
      </c>
      <c r="D1590">
        <v>58976.466</v>
      </c>
    </row>
    <row r="1591" spans="1:5">
      <c r="A1591" t="s">
        <v>25</v>
      </c>
      <c r="B1591" t="s">
        <v>11</v>
      </c>
      <c r="C1591" t="s">
        <v>6</v>
      </c>
      <c r="D1591">
        <v>26153.624019999999</v>
      </c>
    </row>
    <row r="1592" spans="1:5">
      <c r="A1592" t="s">
        <v>25</v>
      </c>
      <c r="B1592" t="s">
        <v>678</v>
      </c>
      <c r="C1592" t="s">
        <v>8</v>
      </c>
      <c r="D1592">
        <v>1.0549665999999999E-2</v>
      </c>
    </row>
    <row r="1593" spans="1:5">
      <c r="A1593" t="s">
        <v>25</v>
      </c>
      <c r="B1593" t="s">
        <v>10</v>
      </c>
      <c r="C1593" t="s">
        <v>8</v>
      </c>
      <c r="D1593">
        <v>42909.101479999998</v>
      </c>
    </row>
    <row r="1594" spans="1:5">
      <c r="A1594" t="s">
        <v>25</v>
      </c>
      <c r="B1594" t="s">
        <v>11</v>
      </c>
      <c r="C1594" t="s">
        <v>8</v>
      </c>
      <c r="D1594">
        <v>0</v>
      </c>
    </row>
    <row r="1595" spans="1:5">
      <c r="A1595" t="s">
        <v>25</v>
      </c>
      <c r="B1595" t="s">
        <v>678</v>
      </c>
      <c r="C1595" t="s">
        <v>15</v>
      </c>
      <c r="D1595">
        <v>1.6277463999999998E-2</v>
      </c>
    </row>
    <row r="1596" spans="1:5">
      <c r="A1596" t="s">
        <v>25</v>
      </c>
      <c r="B1596" t="s">
        <v>10</v>
      </c>
      <c r="C1596" t="s">
        <v>15</v>
      </c>
      <c r="D1596">
        <v>24751.600999999999</v>
      </c>
    </row>
    <row r="1597" spans="1:5">
      <c r="A1597" t="s">
        <v>25</v>
      </c>
      <c r="B1597" t="s">
        <v>11</v>
      </c>
      <c r="C1597" t="s">
        <v>15</v>
      </c>
      <c r="D1597">
        <v>2725.9917999999998</v>
      </c>
    </row>
    <row r="1598" spans="1:5">
      <c r="A1598" t="s">
        <v>25</v>
      </c>
      <c r="B1598" t="s">
        <v>8</v>
      </c>
      <c r="C1598" t="s">
        <v>11</v>
      </c>
      <c r="D1598">
        <v>38358.449912900003</v>
      </c>
    </row>
    <row r="1599" spans="1:5">
      <c r="A1599" t="s">
        <v>25</v>
      </c>
      <c r="B1599" t="s">
        <v>678</v>
      </c>
      <c r="C1599" t="s">
        <v>7</v>
      </c>
      <c r="D1599">
        <v>20.570671396000002</v>
      </c>
    </row>
    <row r="1600" spans="1:5">
      <c r="A1600" t="s">
        <v>25</v>
      </c>
      <c r="B1600" t="s">
        <v>10</v>
      </c>
      <c r="C1600" t="s">
        <v>7</v>
      </c>
      <c r="D1600">
        <v>804.02817741399997</v>
      </c>
    </row>
    <row r="1601" spans="1:5">
      <c r="A1601" t="s">
        <v>25</v>
      </c>
      <c r="B1601" t="s">
        <v>7</v>
      </c>
      <c r="C1601" t="s">
        <v>8</v>
      </c>
      <c r="D1601">
        <v>824.59884881000005</v>
      </c>
    </row>
    <row r="1602" spans="1:5">
      <c r="A1602" t="s">
        <v>25</v>
      </c>
      <c r="B1602" t="s">
        <v>678</v>
      </c>
      <c r="C1602" t="s">
        <v>16</v>
      </c>
      <c r="D1602">
        <v>2544.3402910099999</v>
      </c>
    </row>
    <row r="1603" spans="1:5">
      <c r="A1603" t="s">
        <v>25</v>
      </c>
      <c r="B1603" t="s">
        <v>10</v>
      </c>
      <c r="C1603" t="s">
        <v>16</v>
      </c>
      <c r="D1603">
        <v>53469.228823564998</v>
      </c>
    </row>
    <row r="1604" spans="1:5">
      <c r="A1604" t="s">
        <v>25</v>
      </c>
      <c r="B1604" t="s">
        <v>678</v>
      </c>
      <c r="C1604" t="s">
        <v>17</v>
      </c>
      <c r="D1604">
        <v>0</v>
      </c>
    </row>
    <row r="1605" spans="1:5">
      <c r="A1605" t="s">
        <v>25</v>
      </c>
      <c r="B1605" t="s">
        <v>10</v>
      </c>
      <c r="C1605" t="s">
        <v>17</v>
      </c>
      <c r="D1605">
        <v>4037.1579999999999</v>
      </c>
    </row>
    <row r="1606" spans="1:5">
      <c r="A1606" t="s">
        <v>25</v>
      </c>
      <c r="B1606" t="s">
        <v>17</v>
      </c>
      <c r="C1606" t="s">
        <v>16</v>
      </c>
      <c r="D1606">
        <v>4037.1579999999999</v>
      </c>
    </row>
    <row r="1607" spans="1:5">
      <c r="A1607" t="s">
        <v>25</v>
      </c>
      <c r="B1607" t="s">
        <v>14</v>
      </c>
      <c r="C1607" t="s">
        <v>678</v>
      </c>
      <c r="D1607">
        <v>2540.038</v>
      </c>
    </row>
    <row r="1608" spans="1:5">
      <c r="A1608" t="s">
        <v>25</v>
      </c>
      <c r="B1608" t="s">
        <v>14</v>
      </c>
      <c r="C1608" t="s">
        <v>10</v>
      </c>
      <c r="D1608">
        <v>80039.64</v>
      </c>
      <c r="E1608" s="1"/>
    </row>
    <row r="1609" spans="1:5">
      <c r="A1609" t="s">
        <v>25</v>
      </c>
      <c r="B1609" t="s">
        <v>6</v>
      </c>
      <c r="C1609" t="s">
        <v>14</v>
      </c>
      <c r="D1609">
        <v>82579.678</v>
      </c>
      <c r="E1609" s="1"/>
    </row>
    <row r="1610" spans="1:5">
      <c r="A1610" t="s">
        <v>25</v>
      </c>
      <c r="B1610" t="s">
        <v>8</v>
      </c>
      <c r="C1610" t="s">
        <v>14</v>
      </c>
      <c r="D1610">
        <v>0</v>
      </c>
    </row>
    <row r="1611" spans="1:5">
      <c r="A1611" t="s">
        <v>25</v>
      </c>
      <c r="B1611" t="s">
        <v>9</v>
      </c>
      <c r="C1611" t="s">
        <v>678</v>
      </c>
      <c r="D1611">
        <v>1026.26</v>
      </c>
    </row>
    <row r="1612" spans="1:5">
      <c r="A1612" t="s">
        <v>25</v>
      </c>
      <c r="B1612" t="s">
        <v>9</v>
      </c>
      <c r="C1612" t="s">
        <v>10</v>
      </c>
      <c r="D1612">
        <v>221.80510000000001</v>
      </c>
    </row>
    <row r="1613" spans="1:5">
      <c r="A1613" t="s">
        <v>25</v>
      </c>
      <c r="B1613" t="s">
        <v>6</v>
      </c>
      <c r="C1613" t="s">
        <v>9</v>
      </c>
      <c r="D1613">
        <v>1248.0651</v>
      </c>
    </row>
    <row r="1614" spans="1:5">
      <c r="A1614" t="s">
        <v>25</v>
      </c>
      <c r="B1614" t="s">
        <v>13</v>
      </c>
      <c r="C1614" t="s">
        <v>678</v>
      </c>
      <c r="D1614">
        <v>2985.1640000000002</v>
      </c>
    </row>
    <row r="1615" spans="1:5">
      <c r="A1615" t="s">
        <v>25</v>
      </c>
      <c r="B1615" t="s">
        <v>13</v>
      </c>
      <c r="C1615" t="s">
        <v>10</v>
      </c>
      <c r="D1615">
        <v>40920.370000000003</v>
      </c>
    </row>
    <row r="1616" spans="1:5">
      <c r="A1616" t="s">
        <v>25</v>
      </c>
      <c r="B1616" t="s">
        <v>6</v>
      </c>
      <c r="C1616" t="s">
        <v>13</v>
      </c>
      <c r="D1616">
        <v>43905.534</v>
      </c>
    </row>
    <row r="1617" spans="1:5">
      <c r="A1617" t="s">
        <v>25</v>
      </c>
      <c r="B1617" t="s">
        <v>8</v>
      </c>
      <c r="C1617" t="s">
        <v>678</v>
      </c>
      <c r="D1617">
        <v>-2088.4263511939998</v>
      </c>
    </row>
    <row r="1618" spans="1:5">
      <c r="A1618" t="s">
        <v>25</v>
      </c>
      <c r="B1618" t="s">
        <v>8</v>
      </c>
      <c r="C1618" t="s">
        <v>10</v>
      </c>
      <c r="D1618">
        <v>-182.59795902100001</v>
      </c>
      <c r="E1618" s="1"/>
    </row>
    <row r="1619" spans="1:5">
      <c r="A1619" t="s">
        <v>25</v>
      </c>
      <c r="B1619" t="s">
        <v>12</v>
      </c>
      <c r="C1619" t="s">
        <v>678</v>
      </c>
      <c r="D1619">
        <v>26.896346046000001</v>
      </c>
    </row>
    <row r="1620" spans="1:5">
      <c r="A1620" t="s">
        <v>25</v>
      </c>
      <c r="B1620" t="s">
        <v>12</v>
      </c>
      <c r="C1620" t="s">
        <v>10</v>
      </c>
      <c r="D1620">
        <v>438.49768978600002</v>
      </c>
    </row>
    <row r="1621" spans="1:5">
      <c r="A1621" t="s">
        <v>25</v>
      </c>
      <c r="B1621" t="s">
        <v>8</v>
      </c>
      <c r="C1621" t="s">
        <v>12</v>
      </c>
      <c r="D1621">
        <v>465.39403583199999</v>
      </c>
    </row>
    <row r="1622" spans="1:5">
      <c r="A1622" t="s">
        <v>25</v>
      </c>
      <c r="B1622" t="s">
        <v>16</v>
      </c>
      <c r="C1622" t="s">
        <v>678</v>
      </c>
      <c r="D1622">
        <v>1766.373292555</v>
      </c>
    </row>
    <row r="1623" spans="1:5">
      <c r="A1623" t="s">
        <v>25</v>
      </c>
      <c r="B1623" t="s">
        <v>16</v>
      </c>
      <c r="C1623" t="s">
        <v>10</v>
      </c>
      <c r="D1623">
        <v>51558.136296944998</v>
      </c>
    </row>
    <row r="1624" spans="1:5">
      <c r="A1624" t="s">
        <v>25</v>
      </c>
      <c r="B1624" t="s">
        <v>790</v>
      </c>
      <c r="C1624" t="s">
        <v>678</v>
      </c>
      <c r="D1624">
        <v>0</v>
      </c>
    </row>
    <row r="1625" spans="1:5">
      <c r="A1625" t="s">
        <v>25</v>
      </c>
      <c r="B1625" t="s">
        <v>790</v>
      </c>
      <c r="C1625" t="s">
        <v>10</v>
      </c>
      <c r="D1625">
        <v>0</v>
      </c>
    </row>
    <row r="1626" spans="1:5">
      <c r="A1626" t="s">
        <v>25</v>
      </c>
      <c r="B1626" t="s">
        <v>8</v>
      </c>
      <c r="C1626" t="s">
        <v>790</v>
      </c>
      <c r="D1626">
        <v>0</v>
      </c>
    </row>
    <row r="1627" spans="1:5">
      <c r="A1627" t="s">
        <v>25</v>
      </c>
      <c r="B1627" t="s">
        <v>8</v>
      </c>
      <c r="C1627" t="s">
        <v>6</v>
      </c>
      <c r="D1627">
        <v>7180.8861800000004</v>
      </c>
    </row>
    <row r="1628" spans="1:5">
      <c r="A1628" t="s">
        <v>25</v>
      </c>
      <c r="B1628" t="s">
        <v>15</v>
      </c>
      <c r="C1628" t="s">
        <v>6</v>
      </c>
      <c r="D1628">
        <v>16545.73</v>
      </c>
    </row>
    <row r="1629" spans="1:5">
      <c r="A1629" t="s">
        <v>25</v>
      </c>
      <c r="B1629" t="s">
        <v>5</v>
      </c>
      <c r="C1629" t="s">
        <v>6</v>
      </c>
      <c r="D1629">
        <v>17658.099999999999</v>
      </c>
    </row>
    <row r="1630" spans="1:5">
      <c r="A1630" t="s">
        <v>25</v>
      </c>
      <c r="B1630" t="s">
        <v>15</v>
      </c>
      <c r="C1630" t="s">
        <v>5</v>
      </c>
      <c r="D1630">
        <v>17658.099999999999</v>
      </c>
    </row>
    <row r="1631" spans="1:5">
      <c r="A1631" t="s">
        <v>25</v>
      </c>
      <c r="B1631" t="s">
        <v>6</v>
      </c>
      <c r="C1631" t="s">
        <v>8</v>
      </c>
      <c r="D1631">
        <v>0</v>
      </c>
    </row>
    <row r="1632" spans="1:5">
      <c r="A1632" t="s">
        <v>25</v>
      </c>
      <c r="B1632" t="s">
        <v>16</v>
      </c>
      <c r="C1632" t="s">
        <v>15</v>
      </c>
      <c r="D1632">
        <v>6726.2175250749997</v>
      </c>
    </row>
    <row r="1633" spans="1:5">
      <c r="A1633" t="s">
        <v>25</v>
      </c>
      <c r="B1633" t="s">
        <v>8</v>
      </c>
      <c r="C1633" t="s">
        <v>15</v>
      </c>
      <c r="D1633">
        <v>5.0599599999999996E-3</v>
      </c>
      <c r="E1633" s="1"/>
    </row>
    <row r="1634" spans="1:5">
      <c r="A1634" t="s">
        <v>26</v>
      </c>
      <c r="B1634" t="s">
        <v>678</v>
      </c>
      <c r="C1634" t="s">
        <v>678</v>
      </c>
      <c r="D1634">
        <v>469.85039999999998</v>
      </c>
    </row>
    <row r="1635" spans="1:5">
      <c r="A1635" t="s">
        <v>26</v>
      </c>
      <c r="B1635" t="s">
        <v>10</v>
      </c>
      <c r="C1635" t="s">
        <v>678</v>
      </c>
      <c r="D1635">
        <v>2370.1187</v>
      </c>
    </row>
    <row r="1636" spans="1:5">
      <c r="A1636" t="s">
        <v>26</v>
      </c>
      <c r="B1636" t="s">
        <v>678</v>
      </c>
      <c r="C1636" t="s">
        <v>10</v>
      </c>
      <c r="D1636">
        <v>6290.7842000000001</v>
      </c>
    </row>
    <row r="1637" spans="1:5">
      <c r="A1637" t="s">
        <v>26</v>
      </c>
      <c r="B1637" t="s">
        <v>10</v>
      </c>
      <c r="C1637" t="s">
        <v>10</v>
      </c>
      <c r="D1637">
        <v>102940.32</v>
      </c>
      <c r="E1637" s="1"/>
    </row>
    <row r="1638" spans="1:5">
      <c r="A1638" t="s">
        <v>26</v>
      </c>
      <c r="B1638" t="s">
        <v>11</v>
      </c>
      <c r="C1638" t="s">
        <v>678</v>
      </c>
      <c r="D1638">
        <v>755.74400000000003</v>
      </c>
    </row>
    <row r="1639" spans="1:5">
      <c r="A1639" t="s">
        <v>26</v>
      </c>
      <c r="B1639" t="s">
        <v>11</v>
      </c>
      <c r="C1639" t="s">
        <v>10</v>
      </c>
      <c r="D1639">
        <v>16111.030290000001</v>
      </c>
    </row>
    <row r="1640" spans="1:5">
      <c r="A1640" t="s">
        <v>26</v>
      </c>
      <c r="B1640" t="s">
        <v>678</v>
      </c>
      <c r="C1640" t="s">
        <v>6</v>
      </c>
      <c r="D1640">
        <v>1103.0283999999999</v>
      </c>
    </row>
    <row r="1641" spans="1:5">
      <c r="A1641" t="s">
        <v>26</v>
      </c>
      <c r="B1641" t="s">
        <v>10</v>
      </c>
      <c r="C1641" t="s">
        <v>6</v>
      </c>
      <c r="D1641">
        <v>43371.82</v>
      </c>
    </row>
    <row r="1642" spans="1:5">
      <c r="A1642" t="s">
        <v>26</v>
      </c>
      <c r="B1642" t="s">
        <v>11</v>
      </c>
      <c r="C1642" t="s">
        <v>6</v>
      </c>
      <c r="D1642">
        <v>18945.190989999999</v>
      </c>
    </row>
    <row r="1643" spans="1:5">
      <c r="A1643" t="s">
        <v>26</v>
      </c>
      <c r="B1643" t="s">
        <v>678</v>
      </c>
      <c r="C1643" t="s">
        <v>8</v>
      </c>
      <c r="D1643">
        <v>7.089199E-3</v>
      </c>
    </row>
    <row r="1644" spans="1:5">
      <c r="A1644" t="s">
        <v>26</v>
      </c>
      <c r="B1644" t="s">
        <v>10</v>
      </c>
      <c r="C1644" t="s">
        <v>8</v>
      </c>
      <c r="D1644">
        <v>25048.165000000001</v>
      </c>
    </row>
    <row r="1645" spans="1:5">
      <c r="A1645" t="s">
        <v>26</v>
      </c>
      <c r="B1645" t="s">
        <v>11</v>
      </c>
      <c r="C1645" t="s">
        <v>8</v>
      </c>
      <c r="D1645">
        <v>0</v>
      </c>
    </row>
    <row r="1646" spans="1:5">
      <c r="A1646" t="s">
        <v>26</v>
      </c>
      <c r="B1646" t="s">
        <v>678</v>
      </c>
      <c r="C1646" t="s">
        <v>15</v>
      </c>
      <c r="D1646">
        <v>234.66018550000001</v>
      </c>
    </row>
    <row r="1647" spans="1:5">
      <c r="A1647" t="s">
        <v>26</v>
      </c>
      <c r="B1647" t="s">
        <v>10</v>
      </c>
      <c r="C1647" t="s">
        <v>15</v>
      </c>
      <c r="D1647">
        <v>18550.025000000001</v>
      </c>
    </row>
    <row r="1648" spans="1:5">
      <c r="A1648" t="s">
        <v>26</v>
      </c>
      <c r="B1648" t="s">
        <v>11</v>
      </c>
      <c r="C1648" t="s">
        <v>15</v>
      </c>
      <c r="D1648">
        <v>1417.6352804400001</v>
      </c>
    </row>
    <row r="1649" spans="1:4">
      <c r="A1649" t="s">
        <v>26</v>
      </c>
      <c r="B1649" t="s">
        <v>8</v>
      </c>
      <c r="C1649" t="s">
        <v>11</v>
      </c>
      <c r="D1649">
        <v>37229.600560439998</v>
      </c>
    </row>
    <row r="1650" spans="1:4">
      <c r="A1650" t="s">
        <v>26</v>
      </c>
      <c r="B1650" t="s">
        <v>678</v>
      </c>
      <c r="C1650" t="s">
        <v>7</v>
      </c>
      <c r="D1650">
        <v>12.469562918999999</v>
      </c>
    </row>
    <row r="1651" spans="1:4">
      <c r="A1651" t="s">
        <v>26</v>
      </c>
      <c r="B1651" t="s">
        <v>10</v>
      </c>
      <c r="C1651" t="s">
        <v>7</v>
      </c>
      <c r="D1651">
        <v>117.651650069</v>
      </c>
    </row>
    <row r="1652" spans="1:4">
      <c r="A1652" t="s">
        <v>26</v>
      </c>
      <c r="B1652" t="s">
        <v>7</v>
      </c>
      <c r="C1652" t="s">
        <v>8</v>
      </c>
      <c r="D1652">
        <v>130.121212988</v>
      </c>
    </row>
    <row r="1653" spans="1:4">
      <c r="A1653" t="s">
        <v>26</v>
      </c>
      <c r="B1653" t="s">
        <v>678</v>
      </c>
      <c r="C1653" t="s">
        <v>16</v>
      </c>
      <c r="D1653">
        <v>548.75508020899997</v>
      </c>
    </row>
    <row r="1654" spans="1:4">
      <c r="A1654" t="s">
        <v>26</v>
      </c>
      <c r="B1654" t="s">
        <v>10</v>
      </c>
      <c r="C1654" t="s">
        <v>16</v>
      </c>
      <c r="D1654">
        <v>44079.729558348001</v>
      </c>
    </row>
    <row r="1655" spans="1:4">
      <c r="A1655" t="s">
        <v>26</v>
      </c>
      <c r="B1655" t="s">
        <v>678</v>
      </c>
      <c r="C1655" t="s">
        <v>17</v>
      </c>
      <c r="D1655">
        <v>0</v>
      </c>
    </row>
    <row r="1656" spans="1:4">
      <c r="A1656" t="s">
        <v>26</v>
      </c>
      <c r="B1656" t="s">
        <v>10</v>
      </c>
      <c r="C1656" t="s">
        <v>17</v>
      </c>
      <c r="D1656">
        <v>931.78909999999996</v>
      </c>
    </row>
    <row r="1657" spans="1:4">
      <c r="A1657" t="s">
        <v>26</v>
      </c>
      <c r="B1657" t="s">
        <v>17</v>
      </c>
      <c r="C1657" t="s">
        <v>16</v>
      </c>
      <c r="D1657">
        <v>931.78909999999996</v>
      </c>
    </row>
    <row r="1658" spans="1:4">
      <c r="A1658" t="s">
        <v>26</v>
      </c>
      <c r="B1658" t="s">
        <v>14</v>
      </c>
      <c r="C1658" t="s">
        <v>678</v>
      </c>
      <c r="D1658">
        <v>2270.5439999999999</v>
      </c>
    </row>
    <row r="1659" spans="1:4">
      <c r="A1659" t="s">
        <v>26</v>
      </c>
      <c r="B1659" t="s">
        <v>14</v>
      </c>
      <c r="C1659" t="s">
        <v>10</v>
      </c>
      <c r="D1659">
        <v>43728.01</v>
      </c>
    </row>
    <row r="1660" spans="1:4">
      <c r="A1660" t="s">
        <v>26</v>
      </c>
      <c r="B1660" t="s">
        <v>6</v>
      </c>
      <c r="C1660" t="s">
        <v>14</v>
      </c>
      <c r="D1660">
        <v>45998.553999999996</v>
      </c>
    </row>
    <row r="1661" spans="1:4">
      <c r="A1661" t="s">
        <v>26</v>
      </c>
      <c r="B1661" t="s">
        <v>8</v>
      </c>
      <c r="C1661" t="s">
        <v>14</v>
      </c>
      <c r="D1661">
        <v>0</v>
      </c>
    </row>
    <row r="1662" spans="1:4">
      <c r="A1662" t="s">
        <v>26</v>
      </c>
      <c r="B1662" t="s">
        <v>9</v>
      </c>
      <c r="C1662" t="s">
        <v>678</v>
      </c>
      <c r="D1662">
        <v>567.25599999999997</v>
      </c>
    </row>
    <row r="1663" spans="1:4">
      <c r="A1663" t="s">
        <v>26</v>
      </c>
      <c r="B1663" t="s">
        <v>9</v>
      </c>
      <c r="C1663" t="s">
        <v>10</v>
      </c>
      <c r="D1663">
        <v>93.892750000000007</v>
      </c>
    </row>
    <row r="1664" spans="1:4">
      <c r="A1664" t="s">
        <v>26</v>
      </c>
      <c r="B1664" t="s">
        <v>6</v>
      </c>
      <c r="C1664" t="s">
        <v>9</v>
      </c>
      <c r="D1664">
        <v>661.14874999999995</v>
      </c>
    </row>
    <row r="1665" spans="1:5">
      <c r="A1665" t="s">
        <v>26</v>
      </c>
      <c r="B1665" t="s">
        <v>13</v>
      </c>
      <c r="C1665" t="s">
        <v>678</v>
      </c>
      <c r="D1665">
        <v>2389.511</v>
      </c>
    </row>
    <row r="1666" spans="1:5">
      <c r="A1666" t="s">
        <v>26</v>
      </c>
      <c r="B1666" t="s">
        <v>13</v>
      </c>
      <c r="C1666" t="s">
        <v>10</v>
      </c>
      <c r="D1666">
        <v>31959.86</v>
      </c>
    </row>
    <row r="1667" spans="1:5">
      <c r="A1667" t="s">
        <v>26</v>
      </c>
      <c r="B1667" t="s">
        <v>6</v>
      </c>
      <c r="C1667" t="s">
        <v>13</v>
      </c>
      <c r="D1667">
        <v>34349.370999999999</v>
      </c>
    </row>
    <row r="1668" spans="1:5">
      <c r="A1668" t="s">
        <v>26</v>
      </c>
      <c r="B1668" t="s">
        <v>8</v>
      </c>
      <c r="C1668" t="s">
        <v>678</v>
      </c>
      <c r="D1668">
        <v>-1091.4310730019999</v>
      </c>
    </row>
    <row r="1669" spans="1:5">
      <c r="A1669" t="s">
        <v>26</v>
      </c>
      <c r="B1669" t="s">
        <v>8</v>
      </c>
      <c r="C1669" t="s">
        <v>10</v>
      </c>
      <c r="D1669">
        <v>32.863068417000001</v>
      </c>
      <c r="E1669" s="1"/>
    </row>
    <row r="1670" spans="1:5">
      <c r="A1670" t="s">
        <v>26</v>
      </c>
      <c r="B1670" t="s">
        <v>12</v>
      </c>
      <c r="C1670" t="s">
        <v>678</v>
      </c>
      <c r="D1670">
        <v>9.8831692310000001</v>
      </c>
    </row>
    <row r="1671" spans="1:5">
      <c r="A1671" t="s">
        <v>26</v>
      </c>
      <c r="B1671" t="s">
        <v>12</v>
      </c>
      <c r="C1671" t="s">
        <v>10</v>
      </c>
      <c r="D1671">
        <v>335.60670077999998</v>
      </c>
    </row>
    <row r="1672" spans="1:5">
      <c r="A1672" t="s">
        <v>26</v>
      </c>
      <c r="B1672" t="s">
        <v>8</v>
      </c>
      <c r="C1672" t="s">
        <v>12</v>
      </c>
      <c r="D1672">
        <v>345.48987001099999</v>
      </c>
    </row>
    <row r="1673" spans="1:5">
      <c r="A1673" t="s">
        <v>26</v>
      </c>
      <c r="B1673" t="s">
        <v>16</v>
      </c>
      <c r="C1673" t="s">
        <v>678</v>
      </c>
      <c r="D1673">
        <v>918.07871907900005</v>
      </c>
    </row>
    <row r="1674" spans="1:5">
      <c r="A1674" t="s">
        <v>26</v>
      </c>
      <c r="B1674" t="s">
        <v>16</v>
      </c>
      <c r="C1674" t="s">
        <v>10</v>
      </c>
      <c r="D1674">
        <v>35917.249248202002</v>
      </c>
    </row>
    <row r="1675" spans="1:5">
      <c r="A1675" t="s">
        <v>26</v>
      </c>
      <c r="B1675" t="s">
        <v>790</v>
      </c>
      <c r="C1675" t="s">
        <v>678</v>
      </c>
      <c r="D1675">
        <v>0</v>
      </c>
    </row>
    <row r="1676" spans="1:5">
      <c r="A1676" t="s">
        <v>26</v>
      </c>
      <c r="B1676" t="s">
        <v>790</v>
      </c>
      <c r="C1676" t="s">
        <v>10</v>
      </c>
      <c r="D1676">
        <v>0</v>
      </c>
    </row>
    <row r="1677" spans="1:5">
      <c r="A1677" t="s">
        <v>26</v>
      </c>
      <c r="B1677" t="s">
        <v>8</v>
      </c>
      <c r="C1677" t="s">
        <v>790</v>
      </c>
      <c r="D1677">
        <v>0</v>
      </c>
    </row>
    <row r="1678" spans="1:5">
      <c r="A1678" t="s">
        <v>26</v>
      </c>
      <c r="B1678" t="s">
        <v>8</v>
      </c>
      <c r="C1678" t="s">
        <v>6</v>
      </c>
      <c r="D1678">
        <v>-11338.245639999999</v>
      </c>
    </row>
    <row r="1679" spans="1:5">
      <c r="A1679" t="s">
        <v>26</v>
      </c>
      <c r="B1679" t="s">
        <v>15</v>
      </c>
      <c r="C1679" t="s">
        <v>6</v>
      </c>
      <c r="D1679">
        <v>13246.71</v>
      </c>
    </row>
    <row r="1680" spans="1:5">
      <c r="A1680" t="s">
        <v>26</v>
      </c>
      <c r="B1680" t="s">
        <v>5</v>
      </c>
      <c r="C1680" t="s">
        <v>6</v>
      </c>
      <c r="D1680">
        <v>15680.57</v>
      </c>
    </row>
    <row r="1681" spans="1:5">
      <c r="A1681" t="s">
        <v>26</v>
      </c>
      <c r="B1681" t="s">
        <v>15</v>
      </c>
      <c r="C1681" t="s">
        <v>5</v>
      </c>
      <c r="D1681">
        <v>15680.57</v>
      </c>
    </row>
    <row r="1682" spans="1:5">
      <c r="A1682" t="s">
        <v>26</v>
      </c>
      <c r="B1682" t="s">
        <v>6</v>
      </c>
      <c r="C1682" t="s">
        <v>8</v>
      </c>
      <c r="D1682">
        <v>0</v>
      </c>
    </row>
    <row r="1683" spans="1:5">
      <c r="A1683" t="s">
        <v>26</v>
      </c>
      <c r="B1683" t="s">
        <v>16</v>
      </c>
      <c r="C1683" t="s">
        <v>15</v>
      </c>
      <c r="D1683">
        <v>8724.9457712750009</v>
      </c>
    </row>
    <row r="1684" spans="1:5">
      <c r="A1684" t="s">
        <v>26</v>
      </c>
      <c r="B1684" t="s">
        <v>8</v>
      </c>
      <c r="C1684" t="s">
        <v>15</v>
      </c>
      <c r="D1684">
        <v>1.6516321E-2</v>
      </c>
      <c r="E1684" s="1"/>
    </row>
    <row r="1685" spans="1:5">
      <c r="A1685" t="s">
        <v>332</v>
      </c>
      <c r="B1685" t="s">
        <v>678</v>
      </c>
      <c r="C1685" t="s">
        <v>678</v>
      </c>
      <c r="D1685">
        <v>9382.0259999999998</v>
      </c>
    </row>
    <row r="1686" spans="1:5">
      <c r="A1686" t="s">
        <v>332</v>
      </c>
      <c r="B1686" t="s">
        <v>10</v>
      </c>
      <c r="C1686" t="s">
        <v>678</v>
      </c>
      <c r="D1686">
        <v>32591.24</v>
      </c>
    </row>
    <row r="1687" spans="1:5">
      <c r="A1687" t="s">
        <v>332</v>
      </c>
      <c r="B1687" t="s">
        <v>678</v>
      </c>
      <c r="C1687" t="s">
        <v>10</v>
      </c>
      <c r="D1687">
        <v>38594.178999999996</v>
      </c>
      <c r="E1687" s="1"/>
    </row>
    <row r="1688" spans="1:5">
      <c r="A1688" t="s">
        <v>332</v>
      </c>
      <c r="B1688" t="s">
        <v>10</v>
      </c>
      <c r="C1688" t="s">
        <v>10</v>
      </c>
      <c r="D1688">
        <v>1051121.2</v>
      </c>
      <c r="E1688" s="1"/>
    </row>
    <row r="1689" spans="1:5">
      <c r="A1689" t="s">
        <v>332</v>
      </c>
      <c r="B1689" t="s">
        <v>11</v>
      </c>
      <c r="C1689" t="s">
        <v>678</v>
      </c>
      <c r="D1689">
        <v>0</v>
      </c>
    </row>
    <row r="1690" spans="1:5">
      <c r="A1690" t="s">
        <v>332</v>
      </c>
      <c r="B1690" t="s">
        <v>11</v>
      </c>
      <c r="C1690" t="s">
        <v>10</v>
      </c>
      <c r="D1690">
        <v>16465.759633999998</v>
      </c>
    </row>
    <row r="1691" spans="1:5">
      <c r="A1691" t="s">
        <v>332</v>
      </c>
      <c r="B1691" t="s">
        <v>678</v>
      </c>
      <c r="C1691" t="s">
        <v>6</v>
      </c>
      <c r="D1691">
        <v>24246.382000000001</v>
      </c>
    </row>
    <row r="1692" spans="1:5">
      <c r="A1692" t="s">
        <v>332</v>
      </c>
      <c r="B1692" t="s">
        <v>10</v>
      </c>
      <c r="C1692" t="s">
        <v>6</v>
      </c>
      <c r="D1692">
        <v>749215.54</v>
      </c>
      <c r="E1692" s="1"/>
    </row>
    <row r="1693" spans="1:5">
      <c r="A1693" t="s">
        <v>332</v>
      </c>
      <c r="B1693" t="s">
        <v>11</v>
      </c>
      <c r="C1693" t="s">
        <v>6</v>
      </c>
      <c r="D1693">
        <v>60704.0285</v>
      </c>
      <c r="E1693" s="1"/>
    </row>
    <row r="1694" spans="1:5">
      <c r="A1694" t="s">
        <v>332</v>
      </c>
      <c r="B1694" t="s">
        <v>678</v>
      </c>
      <c r="C1694" t="s">
        <v>8</v>
      </c>
      <c r="D1694">
        <v>6.8016380000000001E-2</v>
      </c>
    </row>
    <row r="1695" spans="1:5">
      <c r="A1695" t="s">
        <v>332</v>
      </c>
      <c r="B1695" t="s">
        <v>10</v>
      </c>
      <c r="C1695" t="s">
        <v>8</v>
      </c>
      <c r="D1695">
        <v>269443.27500000002</v>
      </c>
      <c r="E1695" s="1"/>
    </row>
    <row r="1696" spans="1:5">
      <c r="A1696" t="s">
        <v>332</v>
      </c>
      <c r="B1696" t="s">
        <v>11</v>
      </c>
      <c r="C1696" t="s">
        <v>8</v>
      </c>
      <c r="D1696">
        <v>0</v>
      </c>
    </row>
    <row r="1697" spans="1:5">
      <c r="A1697" t="s">
        <v>332</v>
      </c>
      <c r="B1697" t="s">
        <v>678</v>
      </c>
      <c r="C1697" t="s">
        <v>15</v>
      </c>
      <c r="D1697">
        <v>446.72573</v>
      </c>
    </row>
    <row r="1698" spans="1:5">
      <c r="A1698" t="s">
        <v>332</v>
      </c>
      <c r="B1698" t="s">
        <v>10</v>
      </c>
      <c r="C1698" t="s">
        <v>15</v>
      </c>
      <c r="D1698">
        <v>212917.31</v>
      </c>
      <c r="E1698" s="1"/>
    </row>
    <row r="1699" spans="1:5">
      <c r="A1699" t="s">
        <v>332</v>
      </c>
      <c r="B1699" t="s">
        <v>11</v>
      </c>
      <c r="C1699" t="s">
        <v>15</v>
      </c>
      <c r="D1699">
        <v>25167.259245000001</v>
      </c>
    </row>
    <row r="1700" spans="1:5">
      <c r="A1700" t="s">
        <v>332</v>
      </c>
      <c r="B1700" t="s">
        <v>8</v>
      </c>
      <c r="C1700" t="s">
        <v>11</v>
      </c>
      <c r="D1700">
        <v>102337.04738</v>
      </c>
      <c r="E1700" s="1"/>
    </row>
    <row r="1701" spans="1:5">
      <c r="A1701" t="s">
        <v>332</v>
      </c>
      <c r="B1701" t="s">
        <v>678</v>
      </c>
      <c r="C1701" t="s">
        <v>7</v>
      </c>
      <c r="D1701">
        <v>58.661854403</v>
      </c>
    </row>
    <row r="1702" spans="1:5">
      <c r="A1702" t="s">
        <v>332</v>
      </c>
      <c r="B1702" t="s">
        <v>10</v>
      </c>
      <c r="C1702" t="s">
        <v>7</v>
      </c>
      <c r="D1702">
        <v>1696.4350798400001</v>
      </c>
    </row>
    <row r="1703" spans="1:5">
      <c r="A1703" t="s">
        <v>332</v>
      </c>
      <c r="B1703" t="s">
        <v>7</v>
      </c>
      <c r="C1703" t="s">
        <v>8</v>
      </c>
      <c r="D1703">
        <v>1755.0969342430001</v>
      </c>
    </row>
    <row r="1704" spans="1:5">
      <c r="A1704" t="s">
        <v>332</v>
      </c>
      <c r="B1704" t="s">
        <v>678</v>
      </c>
      <c r="C1704" t="s">
        <v>16</v>
      </c>
      <c r="D1704">
        <v>11832.890004139999</v>
      </c>
    </row>
    <row r="1705" spans="1:5">
      <c r="A1705" t="s">
        <v>332</v>
      </c>
      <c r="B1705" t="s">
        <v>10</v>
      </c>
      <c r="C1705" t="s">
        <v>16</v>
      </c>
      <c r="D1705">
        <v>319095.57945000002</v>
      </c>
      <c r="E1705" s="1"/>
    </row>
    <row r="1706" spans="1:5">
      <c r="A1706" t="s">
        <v>332</v>
      </c>
      <c r="B1706" t="s">
        <v>678</v>
      </c>
      <c r="C1706" t="s">
        <v>17</v>
      </c>
      <c r="D1706">
        <v>0</v>
      </c>
    </row>
    <row r="1707" spans="1:5">
      <c r="A1707" t="s">
        <v>332</v>
      </c>
      <c r="B1707" t="s">
        <v>10</v>
      </c>
      <c r="C1707" t="s">
        <v>17</v>
      </c>
      <c r="D1707">
        <v>5905.2049999999999</v>
      </c>
    </row>
    <row r="1708" spans="1:5">
      <c r="A1708" t="s">
        <v>332</v>
      </c>
      <c r="B1708" t="s">
        <v>17</v>
      </c>
      <c r="C1708" t="s">
        <v>16</v>
      </c>
      <c r="D1708">
        <v>5905.2049999999999</v>
      </c>
    </row>
    <row r="1709" spans="1:5">
      <c r="A1709" t="s">
        <v>332</v>
      </c>
      <c r="B1709" t="s">
        <v>14</v>
      </c>
      <c r="C1709" t="s">
        <v>678</v>
      </c>
      <c r="D1709">
        <v>24490.62</v>
      </c>
    </row>
    <row r="1710" spans="1:5">
      <c r="A1710" t="s">
        <v>332</v>
      </c>
      <c r="B1710" t="s">
        <v>14</v>
      </c>
      <c r="C1710" t="s">
        <v>10</v>
      </c>
      <c r="D1710">
        <v>577699.69999999995</v>
      </c>
      <c r="E1710" s="1"/>
    </row>
    <row r="1711" spans="1:5">
      <c r="A1711" t="s">
        <v>332</v>
      </c>
      <c r="B1711" t="s">
        <v>6</v>
      </c>
      <c r="C1711" t="s">
        <v>14</v>
      </c>
      <c r="D1711">
        <v>602190.31999999995</v>
      </c>
      <c r="E1711" s="1"/>
    </row>
    <row r="1712" spans="1:5">
      <c r="A1712" t="s">
        <v>332</v>
      </c>
      <c r="B1712" t="s">
        <v>8</v>
      </c>
      <c r="C1712" t="s">
        <v>14</v>
      </c>
      <c r="D1712">
        <v>0</v>
      </c>
    </row>
    <row r="1713" spans="1:5">
      <c r="A1713" t="s">
        <v>332</v>
      </c>
      <c r="B1713" t="s">
        <v>9</v>
      </c>
      <c r="C1713" t="s">
        <v>678</v>
      </c>
      <c r="D1713">
        <v>4431.7138999999997</v>
      </c>
    </row>
    <row r="1714" spans="1:5">
      <c r="A1714" t="s">
        <v>332</v>
      </c>
      <c r="B1714" t="s">
        <v>9</v>
      </c>
      <c r="C1714" t="s">
        <v>10</v>
      </c>
      <c r="D1714">
        <v>1989.403</v>
      </c>
    </row>
    <row r="1715" spans="1:5">
      <c r="A1715" t="s">
        <v>332</v>
      </c>
      <c r="B1715" t="s">
        <v>6</v>
      </c>
      <c r="C1715" t="s">
        <v>9</v>
      </c>
      <c r="D1715">
        <v>6421.1169</v>
      </c>
    </row>
    <row r="1716" spans="1:5">
      <c r="A1716" t="s">
        <v>332</v>
      </c>
      <c r="B1716" t="s">
        <v>13</v>
      </c>
      <c r="C1716" t="s">
        <v>678</v>
      </c>
      <c r="D1716">
        <v>9601.1579999999994</v>
      </c>
    </row>
    <row r="1717" spans="1:5">
      <c r="A1717" t="s">
        <v>332</v>
      </c>
      <c r="B1717" t="s">
        <v>13</v>
      </c>
      <c r="C1717" t="s">
        <v>10</v>
      </c>
      <c r="D1717">
        <v>575922.9</v>
      </c>
      <c r="E1717" s="1"/>
    </row>
    <row r="1718" spans="1:5">
      <c r="A1718" t="s">
        <v>332</v>
      </c>
      <c r="B1718" t="s">
        <v>6</v>
      </c>
      <c r="C1718" t="s">
        <v>13</v>
      </c>
      <c r="D1718">
        <v>585524.05799999996</v>
      </c>
      <c r="E1718" s="1"/>
    </row>
    <row r="1719" spans="1:5">
      <c r="A1719" t="s">
        <v>332</v>
      </c>
      <c r="B1719" t="s">
        <v>8</v>
      </c>
      <c r="C1719" t="s">
        <v>678</v>
      </c>
      <c r="D1719">
        <v>-6140.3024854670002</v>
      </c>
    </row>
    <row r="1720" spans="1:5">
      <c r="A1720" t="s">
        <v>332</v>
      </c>
      <c r="B1720" t="s">
        <v>8</v>
      </c>
      <c r="C1720" t="s">
        <v>10</v>
      </c>
      <c r="D1720">
        <v>52244.62789584</v>
      </c>
      <c r="E1720" s="1"/>
    </row>
    <row r="1721" spans="1:5">
      <c r="A1721" t="s">
        <v>332</v>
      </c>
      <c r="B1721" t="s">
        <v>12</v>
      </c>
      <c r="C1721" t="s">
        <v>678</v>
      </c>
      <c r="D1721">
        <v>156.45853749899999</v>
      </c>
    </row>
    <row r="1722" spans="1:5">
      <c r="A1722" t="s">
        <v>332</v>
      </c>
      <c r="B1722" t="s">
        <v>12</v>
      </c>
      <c r="C1722" t="s">
        <v>10</v>
      </c>
      <c r="D1722">
        <v>3276.6919634000001</v>
      </c>
    </row>
    <row r="1723" spans="1:5">
      <c r="A1723" t="s">
        <v>332</v>
      </c>
      <c r="B1723" t="s">
        <v>8</v>
      </c>
      <c r="C1723" t="s">
        <v>12</v>
      </c>
      <c r="D1723">
        <v>3433.1505008989998</v>
      </c>
    </row>
    <row r="1724" spans="1:5">
      <c r="A1724" t="s">
        <v>332</v>
      </c>
      <c r="B1724" t="s">
        <v>16</v>
      </c>
      <c r="C1724" t="s">
        <v>678</v>
      </c>
      <c r="D1724">
        <v>10048.01756337</v>
      </c>
    </row>
    <row r="1725" spans="1:5">
      <c r="A1725" t="s">
        <v>332</v>
      </c>
      <c r="B1725" t="s">
        <v>16</v>
      </c>
      <c r="C1725" t="s">
        <v>10</v>
      </c>
      <c r="D1725">
        <v>324671.34441999998</v>
      </c>
      <c r="E1725" s="1"/>
    </row>
    <row r="1726" spans="1:5">
      <c r="A1726" t="s">
        <v>332</v>
      </c>
      <c r="B1726" t="s">
        <v>790</v>
      </c>
      <c r="C1726" t="s">
        <v>678</v>
      </c>
      <c r="D1726">
        <v>0</v>
      </c>
    </row>
    <row r="1727" spans="1:5">
      <c r="A1727" t="s">
        <v>332</v>
      </c>
      <c r="B1727" t="s">
        <v>790</v>
      </c>
      <c r="C1727" t="s">
        <v>10</v>
      </c>
      <c r="D1727">
        <v>0</v>
      </c>
    </row>
    <row r="1728" spans="1:5">
      <c r="A1728" t="s">
        <v>332</v>
      </c>
      <c r="B1728" t="s">
        <v>8</v>
      </c>
      <c r="C1728" t="s">
        <v>790</v>
      </c>
      <c r="D1728">
        <v>0</v>
      </c>
    </row>
    <row r="1729" spans="1:5">
      <c r="A1729" t="s">
        <v>332</v>
      </c>
      <c r="B1729" t="s">
        <v>8</v>
      </c>
      <c r="C1729" t="s">
        <v>6</v>
      </c>
      <c r="D1729">
        <v>119324.0144</v>
      </c>
      <c r="E1729" s="1"/>
    </row>
    <row r="1730" spans="1:5">
      <c r="A1730" t="s">
        <v>332</v>
      </c>
      <c r="B1730" t="s">
        <v>15</v>
      </c>
      <c r="C1730" t="s">
        <v>6</v>
      </c>
      <c r="D1730">
        <v>82407.23</v>
      </c>
      <c r="E1730" s="1"/>
    </row>
    <row r="1731" spans="1:5">
      <c r="A1731" t="s">
        <v>332</v>
      </c>
      <c r="B1731" t="s">
        <v>5</v>
      </c>
      <c r="C1731" t="s">
        <v>6</v>
      </c>
      <c r="D1731">
        <v>158238.29999999999</v>
      </c>
      <c r="E1731" s="1"/>
    </row>
    <row r="1732" spans="1:5">
      <c r="A1732" t="s">
        <v>332</v>
      </c>
      <c r="B1732" t="s">
        <v>15</v>
      </c>
      <c r="C1732" t="s">
        <v>5</v>
      </c>
      <c r="D1732">
        <v>158238.29999999999</v>
      </c>
      <c r="E1732" s="1"/>
    </row>
    <row r="1733" spans="1:5">
      <c r="A1733" t="s">
        <v>332</v>
      </c>
      <c r="B1733" t="s">
        <v>6</v>
      </c>
      <c r="C1733" t="s">
        <v>8</v>
      </c>
      <c r="D1733">
        <v>0</v>
      </c>
    </row>
    <row r="1734" spans="1:5">
      <c r="A1734" t="s">
        <v>332</v>
      </c>
      <c r="B1734" t="s">
        <v>16</v>
      </c>
      <c r="C1734" t="s">
        <v>15</v>
      </c>
      <c r="D1734">
        <v>2114.3124738900001</v>
      </c>
    </row>
    <row r="1735" spans="1:5">
      <c r="A1735" t="s">
        <v>332</v>
      </c>
      <c r="B1735" t="s">
        <v>15</v>
      </c>
      <c r="C1735" t="s">
        <v>8</v>
      </c>
      <c r="D1735">
        <v>9.7739648999999998E-2</v>
      </c>
      <c r="E1735" s="1"/>
    </row>
    <row r="1736" spans="1:5">
      <c r="A1736" t="s">
        <v>24</v>
      </c>
      <c r="B1736" t="s">
        <v>678</v>
      </c>
      <c r="C1736" t="s">
        <v>678</v>
      </c>
      <c r="D1736">
        <v>4722.7240000000002</v>
      </c>
    </row>
    <row r="1737" spans="1:5">
      <c r="A1737" t="s">
        <v>24</v>
      </c>
      <c r="B1737" t="s">
        <v>10</v>
      </c>
      <c r="C1737" t="s">
        <v>678</v>
      </c>
      <c r="D1737">
        <v>18837.798999999999</v>
      </c>
    </row>
    <row r="1738" spans="1:5">
      <c r="A1738" t="s">
        <v>24</v>
      </c>
      <c r="B1738" t="s">
        <v>678</v>
      </c>
      <c r="C1738" t="s">
        <v>10</v>
      </c>
      <c r="D1738">
        <v>32661.1</v>
      </c>
    </row>
    <row r="1739" spans="1:5">
      <c r="A1739" t="s">
        <v>24</v>
      </c>
      <c r="B1739" t="s">
        <v>10</v>
      </c>
      <c r="C1739" t="s">
        <v>10</v>
      </c>
      <c r="D1739">
        <v>1745317.6</v>
      </c>
      <c r="E1739" s="1"/>
    </row>
    <row r="1740" spans="1:5">
      <c r="A1740" t="s">
        <v>24</v>
      </c>
      <c r="B1740" t="s">
        <v>11</v>
      </c>
      <c r="C1740" t="s">
        <v>678</v>
      </c>
      <c r="D1740">
        <v>12306.2978</v>
      </c>
    </row>
    <row r="1741" spans="1:5">
      <c r="A1741" t="s">
        <v>24</v>
      </c>
      <c r="B1741" t="s">
        <v>11</v>
      </c>
      <c r="C1741" t="s">
        <v>10</v>
      </c>
      <c r="D1741">
        <v>228190.90297</v>
      </c>
    </row>
    <row r="1742" spans="1:5">
      <c r="A1742" t="s">
        <v>24</v>
      </c>
      <c r="B1742" t="s">
        <v>678</v>
      </c>
      <c r="C1742" t="s">
        <v>6</v>
      </c>
      <c r="D1742">
        <v>21459.174999999999</v>
      </c>
    </row>
    <row r="1743" spans="1:5">
      <c r="A1743" t="s">
        <v>24</v>
      </c>
      <c r="B1743" t="s">
        <v>10</v>
      </c>
      <c r="C1743" t="s">
        <v>6</v>
      </c>
      <c r="D1743">
        <v>766623</v>
      </c>
      <c r="E1743" s="1"/>
    </row>
    <row r="1744" spans="1:5">
      <c r="A1744" t="s">
        <v>24</v>
      </c>
      <c r="B1744" t="s">
        <v>11</v>
      </c>
      <c r="C1744" t="s">
        <v>6</v>
      </c>
      <c r="D1744">
        <v>417756.19910000003</v>
      </c>
    </row>
    <row r="1745" spans="1:5">
      <c r="A1745" t="s">
        <v>24</v>
      </c>
      <c r="B1745" t="s">
        <v>678</v>
      </c>
      <c r="C1745" t="s">
        <v>8</v>
      </c>
      <c r="D1745">
        <v>0.15426700300000001</v>
      </c>
    </row>
    <row r="1746" spans="1:5">
      <c r="A1746" t="s">
        <v>24</v>
      </c>
      <c r="B1746" t="s">
        <v>10</v>
      </c>
      <c r="C1746" t="s">
        <v>8</v>
      </c>
      <c r="D1746">
        <v>407687.80361</v>
      </c>
    </row>
    <row r="1747" spans="1:5">
      <c r="A1747" t="s">
        <v>24</v>
      </c>
      <c r="B1747" t="s">
        <v>11</v>
      </c>
      <c r="C1747" t="s">
        <v>8</v>
      </c>
      <c r="D1747">
        <v>0</v>
      </c>
    </row>
    <row r="1748" spans="1:5">
      <c r="A1748" t="s">
        <v>24</v>
      </c>
      <c r="B1748" t="s">
        <v>678</v>
      </c>
      <c r="C1748" t="s">
        <v>15</v>
      </c>
      <c r="D1748">
        <v>408.7992964</v>
      </c>
    </row>
    <row r="1749" spans="1:5">
      <c r="A1749" t="s">
        <v>24</v>
      </c>
      <c r="B1749" t="s">
        <v>10</v>
      </c>
      <c r="C1749" t="s">
        <v>15</v>
      </c>
      <c r="D1749">
        <v>390910.74</v>
      </c>
    </row>
    <row r="1750" spans="1:5">
      <c r="A1750" t="s">
        <v>24</v>
      </c>
      <c r="B1750" t="s">
        <v>11</v>
      </c>
      <c r="C1750" t="s">
        <v>15</v>
      </c>
      <c r="D1750">
        <v>25978.16317</v>
      </c>
    </row>
    <row r="1751" spans="1:5">
      <c r="A1751" t="s">
        <v>24</v>
      </c>
      <c r="B1751" t="s">
        <v>8</v>
      </c>
      <c r="C1751" t="s">
        <v>11</v>
      </c>
      <c r="D1751">
        <v>684231.56304000004</v>
      </c>
    </row>
    <row r="1752" spans="1:5">
      <c r="A1752" t="s">
        <v>24</v>
      </c>
      <c r="B1752" t="s">
        <v>678</v>
      </c>
      <c r="C1752" t="s">
        <v>7</v>
      </c>
      <c r="D1752">
        <v>120.927617316</v>
      </c>
    </row>
    <row r="1753" spans="1:5">
      <c r="A1753" t="s">
        <v>24</v>
      </c>
      <c r="B1753" t="s">
        <v>10</v>
      </c>
      <c r="C1753" t="s">
        <v>7</v>
      </c>
      <c r="D1753">
        <v>1787.39681397</v>
      </c>
    </row>
    <row r="1754" spans="1:5">
      <c r="A1754" t="s">
        <v>24</v>
      </c>
      <c r="B1754" t="s">
        <v>7</v>
      </c>
      <c r="C1754" t="s">
        <v>8</v>
      </c>
      <c r="D1754">
        <v>1908.3244312859999</v>
      </c>
    </row>
    <row r="1755" spans="1:5">
      <c r="A1755" t="s">
        <v>24</v>
      </c>
      <c r="B1755" t="s">
        <v>678</v>
      </c>
      <c r="C1755" t="s">
        <v>16</v>
      </c>
      <c r="D1755">
        <v>6930.3593461</v>
      </c>
    </row>
    <row r="1756" spans="1:5">
      <c r="A1756" t="s">
        <v>24</v>
      </c>
      <c r="B1756" t="s">
        <v>10</v>
      </c>
      <c r="C1756" t="s">
        <v>16</v>
      </c>
      <c r="D1756">
        <v>580918.63566000003</v>
      </c>
      <c r="E1756" s="1"/>
    </row>
    <row r="1757" spans="1:5">
      <c r="A1757" t="s">
        <v>24</v>
      </c>
      <c r="B1757" t="s">
        <v>678</v>
      </c>
      <c r="C1757" t="s">
        <v>17</v>
      </c>
      <c r="D1757">
        <v>0</v>
      </c>
    </row>
    <row r="1758" spans="1:5">
      <c r="A1758" t="s">
        <v>24</v>
      </c>
      <c r="B1758" t="s">
        <v>10</v>
      </c>
      <c r="C1758" t="s">
        <v>17</v>
      </c>
      <c r="D1758">
        <v>11631.91</v>
      </c>
    </row>
    <row r="1759" spans="1:5">
      <c r="A1759" t="s">
        <v>24</v>
      </c>
      <c r="B1759" t="s">
        <v>17</v>
      </c>
      <c r="C1759" t="s">
        <v>16</v>
      </c>
      <c r="D1759">
        <v>11631.91</v>
      </c>
    </row>
    <row r="1760" spans="1:5">
      <c r="A1760" t="s">
        <v>24</v>
      </c>
      <c r="B1760" t="s">
        <v>14</v>
      </c>
      <c r="C1760" t="s">
        <v>678</v>
      </c>
      <c r="D1760">
        <v>9498.2090000000007</v>
      </c>
    </row>
    <row r="1761" spans="1:5">
      <c r="A1761" t="s">
        <v>24</v>
      </c>
      <c r="B1761" t="s">
        <v>14</v>
      </c>
      <c r="C1761" t="s">
        <v>10</v>
      </c>
      <c r="D1761">
        <v>837604.2</v>
      </c>
      <c r="E1761" s="1"/>
    </row>
    <row r="1762" spans="1:5">
      <c r="A1762" t="s">
        <v>24</v>
      </c>
      <c r="B1762" t="s">
        <v>6</v>
      </c>
      <c r="C1762" t="s">
        <v>14</v>
      </c>
      <c r="D1762">
        <v>847102.40899999999</v>
      </c>
      <c r="E1762" s="1"/>
    </row>
    <row r="1763" spans="1:5">
      <c r="A1763" t="s">
        <v>24</v>
      </c>
      <c r="B1763" t="s">
        <v>8</v>
      </c>
      <c r="C1763" t="s">
        <v>14</v>
      </c>
      <c r="D1763">
        <v>0</v>
      </c>
    </row>
    <row r="1764" spans="1:5">
      <c r="A1764" t="s">
        <v>24</v>
      </c>
      <c r="B1764" t="s">
        <v>9</v>
      </c>
      <c r="C1764" t="s">
        <v>678</v>
      </c>
      <c r="D1764">
        <v>3241.0320000000002</v>
      </c>
    </row>
    <row r="1765" spans="1:5">
      <c r="A1765" t="s">
        <v>24</v>
      </c>
      <c r="B1765" t="s">
        <v>9</v>
      </c>
      <c r="C1765" t="s">
        <v>10</v>
      </c>
      <c r="D1765">
        <v>3062.3679999999999</v>
      </c>
    </row>
    <row r="1766" spans="1:5">
      <c r="A1766" t="s">
        <v>24</v>
      </c>
      <c r="B1766" t="s">
        <v>6</v>
      </c>
      <c r="C1766" t="s">
        <v>9</v>
      </c>
      <c r="D1766">
        <v>6303.4</v>
      </c>
    </row>
    <row r="1767" spans="1:5">
      <c r="A1767" t="s">
        <v>24</v>
      </c>
      <c r="B1767" t="s">
        <v>13</v>
      </c>
      <c r="C1767" t="s">
        <v>678</v>
      </c>
      <c r="D1767">
        <v>3283.107</v>
      </c>
    </row>
    <row r="1768" spans="1:5">
      <c r="A1768" t="s">
        <v>24</v>
      </c>
      <c r="B1768" t="s">
        <v>13</v>
      </c>
      <c r="C1768" t="s">
        <v>10</v>
      </c>
      <c r="D1768">
        <v>603271</v>
      </c>
      <c r="E1768" s="1"/>
    </row>
    <row r="1769" spans="1:5">
      <c r="A1769" t="s">
        <v>24</v>
      </c>
      <c r="B1769" t="s">
        <v>6</v>
      </c>
      <c r="C1769" t="s">
        <v>13</v>
      </c>
      <c r="D1769">
        <v>606554.10699999996</v>
      </c>
      <c r="E1769" s="1"/>
    </row>
    <row r="1770" spans="1:5">
      <c r="A1770" t="s">
        <v>24</v>
      </c>
      <c r="B1770" t="s">
        <v>8</v>
      </c>
      <c r="C1770" t="s">
        <v>678</v>
      </c>
      <c r="D1770">
        <v>-5666.3095565840003</v>
      </c>
    </row>
    <row r="1771" spans="1:5">
      <c r="A1771" t="s">
        <v>24</v>
      </c>
      <c r="B1771" t="s">
        <v>8</v>
      </c>
      <c r="C1771" t="s">
        <v>10</v>
      </c>
      <c r="D1771">
        <v>-4011.2984986770002</v>
      </c>
      <c r="E1771" s="1"/>
    </row>
    <row r="1772" spans="1:5">
      <c r="A1772" t="s">
        <v>24</v>
      </c>
      <c r="B1772" t="s">
        <v>12</v>
      </c>
      <c r="C1772" t="s">
        <v>678</v>
      </c>
      <c r="D1772">
        <v>270.02452146500002</v>
      </c>
    </row>
    <row r="1773" spans="1:5">
      <c r="A1773" t="s">
        <v>24</v>
      </c>
      <c r="B1773" t="s">
        <v>12</v>
      </c>
      <c r="C1773" t="s">
        <v>10</v>
      </c>
      <c r="D1773">
        <v>5961.8164689100004</v>
      </c>
    </row>
    <row r="1774" spans="1:5">
      <c r="A1774" t="s">
        <v>24</v>
      </c>
      <c r="B1774" t="s">
        <v>8</v>
      </c>
      <c r="C1774" t="s">
        <v>12</v>
      </c>
      <c r="D1774">
        <v>6231.8409903749998</v>
      </c>
    </row>
    <row r="1775" spans="1:5">
      <c r="A1775" t="s">
        <v>24</v>
      </c>
      <c r="B1775" t="s">
        <v>16</v>
      </c>
      <c r="C1775" t="s">
        <v>678</v>
      </c>
      <c r="D1775">
        <v>19810.360750010001</v>
      </c>
    </row>
    <row r="1776" spans="1:5">
      <c r="A1776" t="s">
        <v>24</v>
      </c>
      <c r="B1776" t="s">
        <v>16</v>
      </c>
      <c r="C1776" t="s">
        <v>10</v>
      </c>
      <c r="D1776">
        <v>471657.17229000002</v>
      </c>
      <c r="E1776" s="1"/>
    </row>
    <row r="1777" spans="1:5">
      <c r="A1777" t="s">
        <v>24</v>
      </c>
      <c r="B1777" t="s">
        <v>790</v>
      </c>
      <c r="C1777" t="s">
        <v>678</v>
      </c>
      <c r="D1777">
        <v>0</v>
      </c>
    </row>
    <row r="1778" spans="1:5">
      <c r="A1778" t="s">
        <v>24</v>
      </c>
      <c r="B1778" t="s">
        <v>790</v>
      </c>
      <c r="C1778" t="s">
        <v>10</v>
      </c>
      <c r="D1778">
        <v>0</v>
      </c>
    </row>
    <row r="1779" spans="1:5">
      <c r="A1779" t="s">
        <v>24</v>
      </c>
      <c r="B1779" t="s">
        <v>8</v>
      </c>
      <c r="C1779" t="s">
        <v>790</v>
      </c>
      <c r="D1779">
        <v>0</v>
      </c>
    </row>
    <row r="1780" spans="1:5">
      <c r="A1780" t="s">
        <v>24</v>
      </c>
      <c r="B1780" t="s">
        <v>8</v>
      </c>
      <c r="C1780" t="s">
        <v>6</v>
      </c>
      <c r="D1780">
        <v>-271189.35810000001</v>
      </c>
    </row>
    <row r="1781" spans="1:5">
      <c r="A1781" t="s">
        <v>24</v>
      </c>
      <c r="B1781" t="s">
        <v>15</v>
      </c>
      <c r="C1781" t="s">
        <v>6</v>
      </c>
      <c r="D1781">
        <v>255455.4</v>
      </c>
    </row>
    <row r="1782" spans="1:5">
      <c r="A1782" t="s">
        <v>24</v>
      </c>
      <c r="B1782" t="s">
        <v>5</v>
      </c>
      <c r="C1782" t="s">
        <v>6</v>
      </c>
      <c r="D1782">
        <v>269855.5</v>
      </c>
    </row>
    <row r="1783" spans="1:5">
      <c r="A1783" t="s">
        <v>24</v>
      </c>
      <c r="B1783" t="s">
        <v>15</v>
      </c>
      <c r="C1783" t="s">
        <v>5</v>
      </c>
      <c r="D1783">
        <v>269855.5</v>
      </c>
    </row>
    <row r="1784" spans="1:5">
      <c r="A1784" t="s">
        <v>24</v>
      </c>
      <c r="B1784" t="s">
        <v>6</v>
      </c>
      <c r="C1784" t="s">
        <v>8</v>
      </c>
      <c r="D1784">
        <v>0</v>
      </c>
    </row>
    <row r="1785" spans="1:5">
      <c r="A1785" t="s">
        <v>24</v>
      </c>
      <c r="B1785" t="s">
        <v>16</v>
      </c>
      <c r="C1785" t="s">
        <v>15</v>
      </c>
      <c r="D1785">
        <v>108013.37196999999</v>
      </c>
    </row>
    <row r="1786" spans="1:5">
      <c r="A1786" t="s">
        <v>24</v>
      </c>
      <c r="B1786" t="s">
        <v>15</v>
      </c>
      <c r="C1786" t="s">
        <v>8</v>
      </c>
      <c r="D1786">
        <v>0.15556982499999999</v>
      </c>
      <c r="E1786" s="1"/>
    </row>
    <row r="1787" spans="1:5">
      <c r="A1787" t="s">
        <v>27</v>
      </c>
      <c r="B1787" t="s">
        <v>678</v>
      </c>
      <c r="C1787" t="s">
        <v>678</v>
      </c>
      <c r="D1787">
        <v>8267.1380000000008</v>
      </c>
    </row>
    <row r="1788" spans="1:5">
      <c r="A1788" t="s">
        <v>27</v>
      </c>
      <c r="B1788" t="s">
        <v>10</v>
      </c>
      <c r="C1788" t="s">
        <v>678</v>
      </c>
      <c r="D1788">
        <v>23549.07</v>
      </c>
    </row>
    <row r="1789" spans="1:5">
      <c r="A1789" t="s">
        <v>27</v>
      </c>
      <c r="B1789" t="s">
        <v>678</v>
      </c>
      <c r="C1789" t="s">
        <v>10</v>
      </c>
      <c r="D1789">
        <v>30773.279999999999</v>
      </c>
    </row>
    <row r="1790" spans="1:5">
      <c r="A1790" t="s">
        <v>27</v>
      </c>
      <c r="B1790" t="s">
        <v>10</v>
      </c>
      <c r="C1790" t="s">
        <v>10</v>
      </c>
      <c r="D1790">
        <v>1075860.8</v>
      </c>
      <c r="E1790" s="1"/>
    </row>
    <row r="1791" spans="1:5">
      <c r="A1791" t="s">
        <v>27</v>
      </c>
      <c r="B1791" t="s">
        <v>11</v>
      </c>
      <c r="C1791" t="s">
        <v>678</v>
      </c>
      <c r="D1791">
        <v>354.75452999999999</v>
      </c>
    </row>
    <row r="1792" spans="1:5">
      <c r="A1792" t="s">
        <v>27</v>
      </c>
      <c r="B1792" t="s">
        <v>11</v>
      </c>
      <c r="C1792" t="s">
        <v>10</v>
      </c>
      <c r="D1792">
        <v>24051.969000000001</v>
      </c>
    </row>
    <row r="1793" spans="1:5">
      <c r="A1793" t="s">
        <v>27</v>
      </c>
      <c r="B1793" t="s">
        <v>678</v>
      </c>
      <c r="C1793" t="s">
        <v>6</v>
      </c>
      <c r="D1793">
        <v>16042.307000000001</v>
      </c>
    </row>
    <row r="1794" spans="1:5">
      <c r="A1794" t="s">
        <v>27</v>
      </c>
      <c r="B1794" t="s">
        <v>10</v>
      </c>
      <c r="C1794" t="s">
        <v>6</v>
      </c>
      <c r="D1794">
        <v>812026.7</v>
      </c>
      <c r="E1794" s="1"/>
    </row>
    <row r="1795" spans="1:5">
      <c r="A1795" t="s">
        <v>27</v>
      </c>
      <c r="B1795" t="s">
        <v>11</v>
      </c>
      <c r="C1795" t="s">
        <v>6</v>
      </c>
      <c r="D1795">
        <v>19472.542600000001</v>
      </c>
    </row>
    <row r="1796" spans="1:5">
      <c r="A1796" t="s">
        <v>27</v>
      </c>
      <c r="B1796" t="s">
        <v>678</v>
      </c>
      <c r="C1796" t="s">
        <v>8</v>
      </c>
      <c r="D1796">
        <v>309.300295226</v>
      </c>
    </row>
    <row r="1797" spans="1:5">
      <c r="A1797" t="s">
        <v>27</v>
      </c>
      <c r="B1797" t="s">
        <v>10</v>
      </c>
      <c r="C1797" t="s">
        <v>8</v>
      </c>
      <c r="D1797">
        <v>240838.47</v>
      </c>
    </row>
    <row r="1798" spans="1:5">
      <c r="A1798" t="s">
        <v>27</v>
      </c>
      <c r="B1798" t="s">
        <v>11</v>
      </c>
      <c r="C1798" t="s">
        <v>8</v>
      </c>
      <c r="D1798">
        <v>0</v>
      </c>
    </row>
    <row r="1799" spans="1:5">
      <c r="A1799" t="s">
        <v>27</v>
      </c>
      <c r="B1799" t="s">
        <v>678</v>
      </c>
      <c r="C1799" t="s">
        <v>15</v>
      </c>
      <c r="D1799">
        <v>0.14034920000000001</v>
      </c>
    </row>
    <row r="1800" spans="1:5">
      <c r="A1800" t="s">
        <v>27</v>
      </c>
      <c r="B1800" t="s">
        <v>10</v>
      </c>
      <c r="C1800" t="s">
        <v>15</v>
      </c>
      <c r="D1800">
        <v>219639.23</v>
      </c>
    </row>
    <row r="1801" spans="1:5">
      <c r="A1801" t="s">
        <v>27</v>
      </c>
      <c r="B1801" t="s">
        <v>11</v>
      </c>
      <c r="C1801" t="s">
        <v>15</v>
      </c>
      <c r="D1801">
        <v>0</v>
      </c>
    </row>
    <row r="1802" spans="1:5">
      <c r="A1802" t="s">
        <v>27</v>
      </c>
      <c r="B1802" t="s">
        <v>8</v>
      </c>
      <c r="C1802" t="s">
        <v>11</v>
      </c>
      <c r="D1802">
        <v>43879.266130000004</v>
      </c>
    </row>
    <row r="1803" spans="1:5">
      <c r="A1803" t="s">
        <v>27</v>
      </c>
      <c r="B1803" t="s">
        <v>678</v>
      </c>
      <c r="C1803" t="s">
        <v>7</v>
      </c>
      <c r="D1803">
        <v>140.85870340100001</v>
      </c>
    </row>
    <row r="1804" spans="1:5">
      <c r="A1804" t="s">
        <v>27</v>
      </c>
      <c r="B1804" t="s">
        <v>10</v>
      </c>
      <c r="C1804" t="s">
        <v>7</v>
      </c>
      <c r="D1804">
        <v>944.45472904999997</v>
      </c>
    </row>
    <row r="1805" spans="1:5">
      <c r="A1805" t="s">
        <v>27</v>
      </c>
      <c r="B1805" t="s">
        <v>7</v>
      </c>
      <c r="C1805" t="s">
        <v>8</v>
      </c>
      <c r="D1805">
        <v>1085.3134324509999</v>
      </c>
    </row>
    <row r="1806" spans="1:5">
      <c r="A1806" t="s">
        <v>27</v>
      </c>
      <c r="B1806" t="s">
        <v>678</v>
      </c>
      <c r="C1806" t="s">
        <v>16</v>
      </c>
      <c r="D1806">
        <v>4352.8219438899996</v>
      </c>
    </row>
    <row r="1807" spans="1:5">
      <c r="A1807" t="s">
        <v>27</v>
      </c>
      <c r="B1807" t="s">
        <v>10</v>
      </c>
      <c r="C1807" t="s">
        <v>16</v>
      </c>
      <c r="D1807">
        <v>313532.12036</v>
      </c>
      <c r="E1807" s="1"/>
    </row>
    <row r="1808" spans="1:5">
      <c r="A1808" t="s">
        <v>27</v>
      </c>
      <c r="B1808" t="s">
        <v>678</v>
      </c>
      <c r="C1808" t="s">
        <v>17</v>
      </c>
      <c r="D1808">
        <v>0</v>
      </c>
    </row>
    <row r="1809" spans="1:5">
      <c r="A1809" t="s">
        <v>27</v>
      </c>
      <c r="B1809" t="s">
        <v>10</v>
      </c>
      <c r="C1809" t="s">
        <v>17</v>
      </c>
      <c r="D1809">
        <v>6811.5230000000001</v>
      </c>
    </row>
    <row r="1810" spans="1:5">
      <c r="A1810" t="s">
        <v>27</v>
      </c>
      <c r="B1810" t="s">
        <v>17</v>
      </c>
      <c r="C1810" t="s">
        <v>16</v>
      </c>
      <c r="D1810">
        <v>6811.5230000000001</v>
      </c>
    </row>
    <row r="1811" spans="1:5">
      <c r="A1811" t="s">
        <v>27</v>
      </c>
      <c r="B1811" t="s">
        <v>14</v>
      </c>
      <c r="C1811" t="s">
        <v>678</v>
      </c>
      <c r="D1811">
        <v>16683.78</v>
      </c>
    </row>
    <row r="1812" spans="1:5">
      <c r="A1812" t="s">
        <v>27</v>
      </c>
      <c r="B1812" t="s">
        <v>14</v>
      </c>
      <c r="C1812" t="s">
        <v>10</v>
      </c>
      <c r="D1812">
        <v>745749.3</v>
      </c>
      <c r="E1812" s="1"/>
    </row>
    <row r="1813" spans="1:5">
      <c r="A1813" t="s">
        <v>27</v>
      </c>
      <c r="B1813" t="s">
        <v>6</v>
      </c>
      <c r="C1813" t="s">
        <v>14</v>
      </c>
      <c r="D1813">
        <v>762433.08</v>
      </c>
      <c r="E1813" s="1"/>
    </row>
    <row r="1814" spans="1:5">
      <c r="A1814" t="s">
        <v>27</v>
      </c>
      <c r="B1814" t="s">
        <v>8</v>
      </c>
      <c r="C1814" t="s">
        <v>14</v>
      </c>
      <c r="D1814">
        <v>0</v>
      </c>
    </row>
    <row r="1815" spans="1:5">
      <c r="A1815" t="s">
        <v>27</v>
      </c>
      <c r="B1815" t="s">
        <v>9</v>
      </c>
      <c r="C1815" t="s">
        <v>678</v>
      </c>
      <c r="D1815">
        <v>3792.8035</v>
      </c>
    </row>
    <row r="1816" spans="1:5">
      <c r="A1816" t="s">
        <v>27</v>
      </c>
      <c r="B1816" t="s">
        <v>9</v>
      </c>
      <c r="C1816" t="s">
        <v>10</v>
      </c>
      <c r="D1816">
        <v>3251.6039999999998</v>
      </c>
    </row>
    <row r="1817" spans="1:5">
      <c r="A1817" t="s">
        <v>27</v>
      </c>
      <c r="B1817" t="s">
        <v>6</v>
      </c>
      <c r="C1817" t="s">
        <v>9</v>
      </c>
      <c r="D1817">
        <v>7044.4075000000003</v>
      </c>
    </row>
    <row r="1818" spans="1:5">
      <c r="A1818" t="s">
        <v>27</v>
      </c>
      <c r="B1818" t="s">
        <v>13</v>
      </c>
      <c r="C1818" t="s">
        <v>678</v>
      </c>
      <c r="D1818">
        <v>4946.7640000000001</v>
      </c>
    </row>
    <row r="1819" spans="1:5">
      <c r="A1819" t="s">
        <v>27</v>
      </c>
      <c r="B1819" t="s">
        <v>13</v>
      </c>
      <c r="C1819" t="s">
        <v>10</v>
      </c>
      <c r="D1819">
        <v>396232.8</v>
      </c>
      <c r="E1819" s="1"/>
    </row>
    <row r="1820" spans="1:5">
      <c r="A1820" t="s">
        <v>27</v>
      </c>
      <c r="B1820" t="s">
        <v>6</v>
      </c>
      <c r="C1820" t="s">
        <v>13</v>
      </c>
      <c r="D1820">
        <v>401179.56400000001</v>
      </c>
      <c r="E1820" s="1"/>
    </row>
    <row r="1821" spans="1:5">
      <c r="A1821" t="s">
        <v>27</v>
      </c>
      <c r="B1821" t="s">
        <v>8</v>
      </c>
      <c r="C1821" t="s">
        <v>678</v>
      </c>
      <c r="D1821">
        <v>-8383.2501400090005</v>
      </c>
    </row>
    <row r="1822" spans="1:5">
      <c r="A1822" t="s">
        <v>27</v>
      </c>
      <c r="B1822" t="s">
        <v>8</v>
      </c>
      <c r="C1822" t="s">
        <v>10</v>
      </c>
      <c r="D1822">
        <v>47559.065086237002</v>
      </c>
      <c r="E1822" s="1"/>
    </row>
    <row r="1823" spans="1:5">
      <c r="A1823" t="s">
        <v>27</v>
      </c>
      <c r="B1823" t="s">
        <v>12</v>
      </c>
      <c r="C1823" t="s">
        <v>678</v>
      </c>
      <c r="D1823">
        <v>301.81211158500003</v>
      </c>
    </row>
    <row r="1824" spans="1:5">
      <c r="A1824" t="s">
        <v>27</v>
      </c>
      <c r="B1824" t="s">
        <v>12</v>
      </c>
      <c r="C1824" t="s">
        <v>10</v>
      </c>
      <c r="D1824">
        <v>5557.1646851699998</v>
      </c>
    </row>
    <row r="1825" spans="1:5">
      <c r="A1825" t="s">
        <v>27</v>
      </c>
      <c r="B1825" t="s">
        <v>8</v>
      </c>
      <c r="C1825" t="s">
        <v>12</v>
      </c>
      <c r="D1825">
        <v>5858.9767967549997</v>
      </c>
    </row>
    <row r="1826" spans="1:5">
      <c r="A1826" t="s">
        <v>27</v>
      </c>
      <c r="B1826" t="s">
        <v>16</v>
      </c>
      <c r="C1826" t="s">
        <v>678</v>
      </c>
      <c r="D1826">
        <v>10372.97529819</v>
      </c>
    </row>
    <row r="1827" spans="1:5">
      <c r="A1827" t="s">
        <v>27</v>
      </c>
      <c r="B1827" t="s">
        <v>16</v>
      </c>
      <c r="C1827" t="s">
        <v>10</v>
      </c>
      <c r="D1827">
        <v>364166.38199999998</v>
      </c>
      <c r="E1827" s="1"/>
    </row>
    <row r="1828" spans="1:5">
      <c r="A1828" t="s">
        <v>27</v>
      </c>
      <c r="B1828" t="s">
        <v>790</v>
      </c>
      <c r="C1828" t="s">
        <v>678</v>
      </c>
      <c r="D1828">
        <v>0</v>
      </c>
    </row>
    <row r="1829" spans="1:5">
      <c r="A1829" t="s">
        <v>27</v>
      </c>
      <c r="B1829" t="s">
        <v>790</v>
      </c>
      <c r="C1829" t="s">
        <v>10</v>
      </c>
      <c r="D1829" s="1">
        <v>0</v>
      </c>
    </row>
    <row r="1830" spans="1:5">
      <c r="A1830" t="s">
        <v>27</v>
      </c>
      <c r="B1830" t="s">
        <v>8</v>
      </c>
      <c r="C1830" t="s">
        <v>790</v>
      </c>
      <c r="D1830" s="1">
        <v>0</v>
      </c>
    </row>
    <row r="1831" spans="1:5">
      <c r="A1831" t="s">
        <v>27</v>
      </c>
      <c r="B1831" t="s">
        <v>8</v>
      </c>
      <c r="C1831" t="s">
        <v>6</v>
      </c>
      <c r="D1831" s="1">
        <v>153318.69190000001</v>
      </c>
    </row>
    <row r="1832" spans="1:5">
      <c r="A1832" t="s">
        <v>27</v>
      </c>
      <c r="B1832" t="s">
        <v>15</v>
      </c>
      <c r="C1832" t="s">
        <v>6</v>
      </c>
      <c r="D1832" s="1">
        <v>38878.410000000003</v>
      </c>
    </row>
    <row r="1833" spans="1:5">
      <c r="A1833" t="s">
        <v>27</v>
      </c>
      <c r="B1833" t="s">
        <v>5</v>
      </c>
      <c r="C1833" t="s">
        <v>6</v>
      </c>
      <c r="D1833" s="1">
        <v>130918.39999999999</v>
      </c>
    </row>
    <row r="1834" spans="1:5">
      <c r="A1834" t="s">
        <v>27</v>
      </c>
      <c r="B1834" t="s">
        <v>15</v>
      </c>
      <c r="C1834" t="s">
        <v>5</v>
      </c>
      <c r="D1834" s="1">
        <v>130918.39999999999</v>
      </c>
    </row>
    <row r="1835" spans="1:5">
      <c r="A1835" t="s">
        <v>27</v>
      </c>
      <c r="B1835" t="s">
        <v>6</v>
      </c>
      <c r="C1835" t="s">
        <v>8</v>
      </c>
      <c r="D1835" s="1">
        <v>0</v>
      </c>
    </row>
    <row r="1836" spans="1:5">
      <c r="A1836" t="s">
        <v>27</v>
      </c>
      <c r="B1836" t="s">
        <v>15</v>
      </c>
      <c r="C1836" t="s">
        <v>16</v>
      </c>
      <c r="D1836" s="1">
        <v>49842.891995755999</v>
      </c>
    </row>
    <row r="1837" spans="1:5">
      <c r="A1837" t="s">
        <v>27</v>
      </c>
      <c r="B1837" t="s">
        <v>8</v>
      </c>
      <c r="C1837" t="s">
        <v>15</v>
      </c>
      <c r="D1837" s="1">
        <v>0.333954694</v>
      </c>
      <c r="E1837" s="1"/>
    </row>
    <row r="1838" spans="1:5">
      <c r="A1838" t="s">
        <v>338</v>
      </c>
      <c r="B1838" t="s">
        <v>678</v>
      </c>
      <c r="C1838" t="s">
        <v>678</v>
      </c>
      <c r="D1838" s="1">
        <v>1551.3362</v>
      </c>
    </row>
    <row r="1839" spans="1:5">
      <c r="A1839" t="s">
        <v>338</v>
      </c>
      <c r="B1839" t="s">
        <v>10</v>
      </c>
      <c r="C1839" t="s">
        <v>678</v>
      </c>
      <c r="D1839" s="1">
        <v>6995.0810000000001</v>
      </c>
    </row>
    <row r="1840" spans="1:5">
      <c r="A1840" t="s">
        <v>338</v>
      </c>
      <c r="B1840" t="s">
        <v>678</v>
      </c>
      <c r="C1840" t="s">
        <v>10</v>
      </c>
      <c r="D1840" s="1">
        <v>8132.9063999999998</v>
      </c>
    </row>
    <row r="1841" spans="1:5">
      <c r="A1841" t="s">
        <v>338</v>
      </c>
      <c r="B1841" t="s">
        <v>10</v>
      </c>
      <c r="C1841" t="s">
        <v>10</v>
      </c>
      <c r="D1841" s="1">
        <v>62089.75</v>
      </c>
      <c r="E1841" s="1"/>
    </row>
    <row r="1842" spans="1:5">
      <c r="A1842" t="s">
        <v>338</v>
      </c>
      <c r="B1842" t="s">
        <v>11</v>
      </c>
      <c r="C1842" t="s">
        <v>678</v>
      </c>
      <c r="D1842" s="1">
        <v>7379.4389000000001</v>
      </c>
    </row>
    <row r="1843" spans="1:5">
      <c r="A1843" t="s">
        <v>338</v>
      </c>
      <c r="B1843" t="s">
        <v>11</v>
      </c>
      <c r="C1843" t="s">
        <v>10</v>
      </c>
      <c r="D1843" s="1">
        <v>15617.897000000001</v>
      </c>
    </row>
    <row r="1844" spans="1:5">
      <c r="A1844" t="s">
        <v>338</v>
      </c>
      <c r="B1844" t="s">
        <v>678</v>
      </c>
      <c r="C1844" t="s">
        <v>6</v>
      </c>
      <c r="D1844" s="1">
        <v>16945.133000000002</v>
      </c>
    </row>
    <row r="1845" spans="1:5">
      <c r="A1845" t="s">
        <v>338</v>
      </c>
      <c r="B1845" t="s">
        <v>10</v>
      </c>
      <c r="C1845" t="s">
        <v>6</v>
      </c>
      <c r="D1845" s="1">
        <v>58496.19</v>
      </c>
      <c r="E1845" s="1"/>
    </row>
    <row r="1846" spans="1:5">
      <c r="A1846" t="s">
        <v>338</v>
      </c>
      <c r="B1846" t="s">
        <v>11</v>
      </c>
      <c r="C1846" t="s">
        <v>6</v>
      </c>
      <c r="D1846" s="1">
        <v>11615.1351</v>
      </c>
    </row>
    <row r="1847" spans="1:5">
      <c r="A1847" t="s">
        <v>338</v>
      </c>
      <c r="B1847" t="s">
        <v>678</v>
      </c>
      <c r="C1847" t="s">
        <v>8</v>
      </c>
      <c r="D1847" s="1">
        <v>4.8094410000000002E-3</v>
      </c>
    </row>
    <row r="1848" spans="1:5">
      <c r="A1848" t="s">
        <v>338</v>
      </c>
      <c r="B1848" t="s">
        <v>10</v>
      </c>
      <c r="C1848" t="s">
        <v>8</v>
      </c>
      <c r="D1848" s="1">
        <v>16536.408171999999</v>
      </c>
    </row>
    <row r="1849" spans="1:5">
      <c r="A1849" t="s">
        <v>338</v>
      </c>
      <c r="B1849" t="s">
        <v>11</v>
      </c>
      <c r="C1849" t="s">
        <v>8</v>
      </c>
      <c r="D1849" s="1">
        <v>0</v>
      </c>
    </row>
    <row r="1850" spans="1:5">
      <c r="A1850" t="s">
        <v>338</v>
      </c>
      <c r="B1850" t="s">
        <v>678</v>
      </c>
      <c r="C1850" t="s">
        <v>15</v>
      </c>
      <c r="D1850" s="1">
        <v>117.80341900000001</v>
      </c>
    </row>
    <row r="1851" spans="1:5">
      <c r="A1851" t="s">
        <v>338</v>
      </c>
      <c r="B1851" t="s">
        <v>10</v>
      </c>
      <c r="C1851" t="s">
        <v>15</v>
      </c>
      <c r="D1851" s="1">
        <v>24467.482</v>
      </c>
      <c r="E1851" s="1"/>
    </row>
    <row r="1852" spans="1:5">
      <c r="A1852" t="s">
        <v>338</v>
      </c>
      <c r="B1852" t="s">
        <v>11</v>
      </c>
      <c r="C1852" t="s">
        <v>15</v>
      </c>
      <c r="D1852" s="1">
        <v>0</v>
      </c>
    </row>
    <row r="1853" spans="1:5">
      <c r="A1853" t="s">
        <v>338</v>
      </c>
      <c r="B1853" t="s">
        <v>8</v>
      </c>
      <c r="C1853" t="s">
        <v>11</v>
      </c>
      <c r="D1853" s="1">
        <v>34612.470999999998</v>
      </c>
    </row>
    <row r="1854" spans="1:5">
      <c r="A1854" t="s">
        <v>338</v>
      </c>
      <c r="B1854" t="s">
        <v>678</v>
      </c>
      <c r="C1854" t="s">
        <v>7</v>
      </c>
      <c r="D1854" s="1">
        <v>2.1670902010000002</v>
      </c>
    </row>
    <row r="1855" spans="1:5">
      <c r="A1855" t="s">
        <v>338</v>
      </c>
      <c r="B1855" t="s">
        <v>10</v>
      </c>
      <c r="C1855" t="s">
        <v>7</v>
      </c>
      <c r="D1855" s="1">
        <v>57.481550339999998</v>
      </c>
    </row>
    <row r="1856" spans="1:5">
      <c r="A1856" t="s">
        <v>338</v>
      </c>
      <c r="B1856" t="s">
        <v>7</v>
      </c>
      <c r="C1856" t="s">
        <v>8</v>
      </c>
      <c r="D1856" s="1">
        <v>59.648640540999999</v>
      </c>
    </row>
    <row r="1857" spans="1:5">
      <c r="A1857" t="s">
        <v>338</v>
      </c>
      <c r="B1857" t="s">
        <v>678</v>
      </c>
      <c r="C1857" t="s">
        <v>16</v>
      </c>
      <c r="D1857" s="1">
        <v>1635.1875395770001</v>
      </c>
    </row>
    <row r="1858" spans="1:5">
      <c r="A1858" t="s">
        <v>338</v>
      </c>
      <c r="B1858" t="s">
        <v>10</v>
      </c>
      <c r="C1858" t="s">
        <v>16</v>
      </c>
      <c r="D1858" s="1">
        <v>12127.332267305999</v>
      </c>
    </row>
    <row r="1859" spans="1:5">
      <c r="A1859" t="s">
        <v>338</v>
      </c>
      <c r="B1859" t="s">
        <v>678</v>
      </c>
      <c r="C1859" t="s">
        <v>17</v>
      </c>
      <c r="D1859" s="1">
        <v>0</v>
      </c>
    </row>
    <row r="1860" spans="1:5">
      <c r="A1860" t="s">
        <v>338</v>
      </c>
      <c r="B1860" t="s">
        <v>10</v>
      </c>
      <c r="C1860" t="s">
        <v>17</v>
      </c>
      <c r="D1860" s="1">
        <v>106.9879</v>
      </c>
    </row>
    <row r="1861" spans="1:5">
      <c r="A1861" t="s">
        <v>338</v>
      </c>
      <c r="B1861" t="s">
        <v>17</v>
      </c>
      <c r="C1861" t="s">
        <v>16</v>
      </c>
      <c r="D1861" s="1">
        <v>106.9879</v>
      </c>
    </row>
    <row r="1862" spans="1:5">
      <c r="A1862" t="s">
        <v>338</v>
      </c>
      <c r="B1862" t="s">
        <v>14</v>
      </c>
      <c r="C1862" t="s">
        <v>678</v>
      </c>
      <c r="D1862" s="1">
        <v>6182.2830000000004</v>
      </c>
    </row>
    <row r="1863" spans="1:5">
      <c r="A1863" t="s">
        <v>338</v>
      </c>
      <c r="B1863" t="s">
        <v>14</v>
      </c>
      <c r="C1863" t="s">
        <v>10</v>
      </c>
      <c r="D1863" s="1">
        <v>32059.24</v>
      </c>
      <c r="E1863" s="1"/>
    </row>
    <row r="1864" spans="1:5">
      <c r="A1864" t="s">
        <v>338</v>
      </c>
      <c r="B1864" t="s">
        <v>6</v>
      </c>
      <c r="C1864" t="s">
        <v>14</v>
      </c>
      <c r="D1864" s="1">
        <v>38241.523000000001</v>
      </c>
      <c r="E1864" s="1"/>
    </row>
    <row r="1865" spans="1:5">
      <c r="A1865" t="s">
        <v>338</v>
      </c>
      <c r="B1865" t="s">
        <v>8</v>
      </c>
      <c r="C1865" t="s">
        <v>14</v>
      </c>
      <c r="D1865" s="1">
        <v>0</v>
      </c>
    </row>
    <row r="1866" spans="1:5">
      <c r="A1866" t="s">
        <v>338</v>
      </c>
      <c r="B1866" t="s">
        <v>9</v>
      </c>
      <c r="C1866" t="s">
        <v>678</v>
      </c>
      <c r="D1866" s="1">
        <v>3636.2152999999998</v>
      </c>
    </row>
    <row r="1867" spans="1:5">
      <c r="A1867" t="s">
        <v>338</v>
      </c>
      <c r="B1867" t="s">
        <v>9</v>
      </c>
      <c r="C1867" t="s">
        <v>10</v>
      </c>
      <c r="D1867" s="1">
        <v>57.070239999999998</v>
      </c>
    </row>
    <row r="1868" spans="1:5">
      <c r="A1868" t="s">
        <v>338</v>
      </c>
      <c r="B1868" t="s">
        <v>6</v>
      </c>
      <c r="C1868" t="s">
        <v>9</v>
      </c>
      <c r="D1868" s="1">
        <v>3693.2855399999999</v>
      </c>
    </row>
    <row r="1869" spans="1:5">
      <c r="A1869" t="s">
        <v>338</v>
      </c>
      <c r="B1869" t="s">
        <v>13</v>
      </c>
      <c r="C1869" t="s">
        <v>678</v>
      </c>
      <c r="D1869" s="1">
        <v>3028.2809999999999</v>
      </c>
    </row>
    <row r="1870" spans="1:5">
      <c r="A1870" t="s">
        <v>338</v>
      </c>
      <c r="B1870" t="s">
        <v>13</v>
      </c>
      <c r="C1870" t="s">
        <v>10</v>
      </c>
      <c r="D1870" s="1">
        <v>24722.81</v>
      </c>
      <c r="E1870" s="1"/>
    </row>
    <row r="1871" spans="1:5">
      <c r="A1871" t="s">
        <v>338</v>
      </c>
      <c r="B1871" t="s">
        <v>6</v>
      </c>
      <c r="C1871" t="s">
        <v>13</v>
      </c>
      <c r="D1871" s="1">
        <v>27751.091</v>
      </c>
      <c r="E1871" s="1"/>
    </row>
    <row r="1872" spans="1:5">
      <c r="A1872" t="s">
        <v>338</v>
      </c>
      <c r="B1872" t="s">
        <v>8</v>
      </c>
      <c r="C1872" t="s">
        <v>678</v>
      </c>
      <c r="D1872" s="1">
        <v>-1809.3898804170001</v>
      </c>
    </row>
    <row r="1873" spans="1:5">
      <c r="A1873" t="s">
        <v>338</v>
      </c>
      <c r="B1873" t="s">
        <v>8</v>
      </c>
      <c r="C1873" t="s">
        <v>10</v>
      </c>
      <c r="D1873" s="1">
        <v>2585.4070776459998</v>
      </c>
      <c r="E1873" s="1"/>
    </row>
    <row r="1874" spans="1:5">
      <c r="A1874" t="s">
        <v>338</v>
      </c>
      <c r="B1874" t="s">
        <v>12</v>
      </c>
      <c r="C1874" t="s">
        <v>678</v>
      </c>
      <c r="D1874" s="1">
        <v>32.694507637000001</v>
      </c>
    </row>
    <row r="1875" spans="1:5">
      <c r="A1875" t="s">
        <v>338</v>
      </c>
      <c r="B1875" t="s">
        <v>12</v>
      </c>
      <c r="C1875" t="s">
        <v>10</v>
      </c>
      <c r="D1875" s="1">
        <v>353.91946578699998</v>
      </c>
    </row>
    <row r="1876" spans="1:5">
      <c r="A1876" t="s">
        <v>338</v>
      </c>
      <c r="B1876" t="s">
        <v>8</v>
      </c>
      <c r="C1876" t="s">
        <v>12</v>
      </c>
      <c r="D1876" s="1">
        <v>386.61397342399999</v>
      </c>
    </row>
    <row r="1877" spans="1:5">
      <c r="A1877" t="s">
        <v>338</v>
      </c>
      <c r="B1877" t="s">
        <v>16</v>
      </c>
      <c r="C1877" t="s">
        <v>678</v>
      </c>
      <c r="D1877" s="1">
        <v>1388.5984023789999</v>
      </c>
    </row>
    <row r="1878" spans="1:5">
      <c r="A1878" t="s">
        <v>338</v>
      </c>
      <c r="B1878" t="s">
        <v>16</v>
      </c>
      <c r="C1878" t="s">
        <v>10</v>
      </c>
      <c r="D1878" s="1">
        <v>35257.709205343002</v>
      </c>
    </row>
    <row r="1879" spans="1:5">
      <c r="A1879" t="s">
        <v>338</v>
      </c>
      <c r="B1879" t="s">
        <v>790</v>
      </c>
      <c r="C1879" t="s">
        <v>678</v>
      </c>
      <c r="D1879" s="1">
        <v>0</v>
      </c>
    </row>
    <row r="1880" spans="1:5">
      <c r="A1880" t="s">
        <v>338</v>
      </c>
      <c r="B1880" t="s">
        <v>790</v>
      </c>
      <c r="C1880" t="s">
        <v>10</v>
      </c>
      <c r="D1880" s="1">
        <v>0</v>
      </c>
    </row>
    <row r="1881" spans="1:5">
      <c r="A1881" t="s">
        <v>338</v>
      </c>
      <c r="B1881" t="s">
        <v>8</v>
      </c>
      <c r="C1881" t="s">
        <v>790</v>
      </c>
      <c r="D1881" s="1">
        <v>0</v>
      </c>
    </row>
    <row r="1882" spans="1:5">
      <c r="A1882" t="s">
        <v>338</v>
      </c>
      <c r="B1882" t="s">
        <v>8</v>
      </c>
      <c r="C1882" t="s">
        <v>6</v>
      </c>
      <c r="D1882" s="1">
        <v>-19179.048559999999</v>
      </c>
      <c r="E1882" s="1"/>
    </row>
    <row r="1883" spans="1:5">
      <c r="A1883" t="s">
        <v>338</v>
      </c>
      <c r="B1883" t="s">
        <v>15</v>
      </c>
      <c r="C1883" t="s">
        <v>6</v>
      </c>
      <c r="D1883" s="1">
        <v>-12698.8</v>
      </c>
      <c r="E1883" s="1"/>
    </row>
    <row r="1884" spans="1:5">
      <c r="A1884" t="s">
        <v>338</v>
      </c>
      <c r="B1884" t="s">
        <v>5</v>
      </c>
      <c r="C1884" t="s">
        <v>6</v>
      </c>
      <c r="D1884" s="1">
        <v>14507.29</v>
      </c>
    </row>
    <row r="1885" spans="1:5">
      <c r="A1885" t="s">
        <v>338</v>
      </c>
      <c r="B1885" t="s">
        <v>15</v>
      </c>
      <c r="C1885" t="s">
        <v>5</v>
      </c>
      <c r="D1885" s="1">
        <v>14507.29</v>
      </c>
    </row>
    <row r="1886" spans="1:5">
      <c r="A1886" t="s">
        <v>338</v>
      </c>
      <c r="B1886" t="s">
        <v>6</v>
      </c>
      <c r="C1886" t="s">
        <v>8</v>
      </c>
      <c r="D1886" s="1">
        <v>0</v>
      </c>
    </row>
    <row r="1887" spans="1:5">
      <c r="A1887" t="s">
        <v>338</v>
      </c>
      <c r="B1887" t="s">
        <v>15</v>
      </c>
      <c r="C1887" t="s">
        <v>16</v>
      </c>
      <c r="D1887" s="1">
        <v>22776.799900837999</v>
      </c>
    </row>
    <row r="1888" spans="1:5">
      <c r="A1888" t="s">
        <v>338</v>
      </c>
      <c r="B1888" t="s">
        <v>8</v>
      </c>
      <c r="C1888" t="s">
        <v>15</v>
      </c>
      <c r="D1888" s="1">
        <v>8.0113289999999993E-3</v>
      </c>
      <c r="E1888" s="1"/>
    </row>
    <row r="1889" spans="1:5">
      <c r="A1889" t="s">
        <v>344</v>
      </c>
      <c r="B1889" t="s">
        <v>678</v>
      </c>
      <c r="C1889" t="s">
        <v>678</v>
      </c>
      <c r="D1889" s="1">
        <v>1246.52028</v>
      </c>
    </row>
    <row r="1890" spans="1:5">
      <c r="A1890" t="s">
        <v>344</v>
      </c>
      <c r="B1890" t="s">
        <v>10</v>
      </c>
      <c r="C1890" t="s">
        <v>678</v>
      </c>
      <c r="D1890" s="1">
        <v>2954.4497999999999</v>
      </c>
    </row>
    <row r="1891" spans="1:5">
      <c r="A1891" t="s">
        <v>344</v>
      </c>
      <c r="B1891" t="s">
        <v>678</v>
      </c>
      <c r="C1891" t="s">
        <v>10</v>
      </c>
      <c r="D1891" s="1">
        <v>5489.5825000000004</v>
      </c>
    </row>
    <row r="1892" spans="1:5">
      <c r="A1892" t="s">
        <v>344</v>
      </c>
      <c r="B1892" t="s">
        <v>10</v>
      </c>
      <c r="C1892" t="s">
        <v>10</v>
      </c>
      <c r="D1892" s="1">
        <v>65100.84</v>
      </c>
      <c r="E1892" s="1"/>
    </row>
    <row r="1893" spans="1:5">
      <c r="A1893" t="s">
        <v>344</v>
      </c>
      <c r="B1893" t="s">
        <v>11</v>
      </c>
      <c r="C1893" t="s">
        <v>678</v>
      </c>
      <c r="D1893" s="1">
        <v>0.39791080000000001</v>
      </c>
    </row>
    <row r="1894" spans="1:5">
      <c r="A1894" t="s">
        <v>344</v>
      </c>
      <c r="B1894" t="s">
        <v>11</v>
      </c>
      <c r="C1894" t="s">
        <v>10</v>
      </c>
      <c r="D1894" s="1">
        <v>781.360814</v>
      </c>
    </row>
    <row r="1895" spans="1:5">
      <c r="A1895" t="s">
        <v>344</v>
      </c>
      <c r="B1895" t="s">
        <v>678</v>
      </c>
      <c r="C1895" t="s">
        <v>6</v>
      </c>
      <c r="D1895" s="1">
        <v>454.726</v>
      </c>
    </row>
    <row r="1896" spans="1:5">
      <c r="A1896" t="s">
        <v>344</v>
      </c>
      <c r="B1896" t="s">
        <v>10</v>
      </c>
      <c r="C1896" t="s">
        <v>6</v>
      </c>
      <c r="D1896" s="1">
        <v>34147.858999999997</v>
      </c>
    </row>
    <row r="1897" spans="1:5">
      <c r="A1897" t="s">
        <v>344</v>
      </c>
      <c r="B1897" t="s">
        <v>11</v>
      </c>
      <c r="C1897" t="s">
        <v>6</v>
      </c>
      <c r="D1897" s="1">
        <v>3367.1475399999999</v>
      </c>
    </row>
    <row r="1898" spans="1:5">
      <c r="A1898" t="s">
        <v>344</v>
      </c>
      <c r="B1898" t="s">
        <v>678</v>
      </c>
      <c r="C1898" t="s">
        <v>8</v>
      </c>
      <c r="D1898" s="1">
        <v>2.4366750000000001E-3</v>
      </c>
    </row>
    <row r="1899" spans="1:5">
      <c r="A1899" t="s">
        <v>344</v>
      </c>
      <c r="B1899" t="s">
        <v>10</v>
      </c>
      <c r="C1899" t="s">
        <v>8</v>
      </c>
      <c r="D1899" s="1">
        <v>10253.422608000001</v>
      </c>
    </row>
    <row r="1900" spans="1:5">
      <c r="A1900" t="s">
        <v>344</v>
      </c>
      <c r="B1900" t="s">
        <v>11</v>
      </c>
      <c r="C1900" t="s">
        <v>8</v>
      </c>
      <c r="D1900" s="1">
        <v>0</v>
      </c>
    </row>
    <row r="1901" spans="1:5">
      <c r="A1901" t="s">
        <v>344</v>
      </c>
      <c r="B1901" t="s">
        <v>678</v>
      </c>
      <c r="C1901" t="s">
        <v>15</v>
      </c>
      <c r="D1901" s="1">
        <v>1.1676662000000001E-2</v>
      </c>
    </row>
    <row r="1902" spans="1:5">
      <c r="A1902" t="s">
        <v>344</v>
      </c>
      <c r="B1902" t="s">
        <v>10</v>
      </c>
      <c r="C1902" t="s">
        <v>15</v>
      </c>
      <c r="D1902" s="1">
        <v>13307.647000000001</v>
      </c>
    </row>
    <row r="1903" spans="1:5">
      <c r="A1903" t="s">
        <v>344</v>
      </c>
      <c r="B1903" t="s">
        <v>11</v>
      </c>
      <c r="C1903" t="s">
        <v>15</v>
      </c>
      <c r="D1903" s="1">
        <v>319.04993999999999</v>
      </c>
    </row>
    <row r="1904" spans="1:5">
      <c r="A1904" t="s">
        <v>344</v>
      </c>
      <c r="B1904" t="s">
        <v>8</v>
      </c>
      <c r="C1904" t="s">
        <v>11</v>
      </c>
      <c r="D1904" s="1">
        <v>4467.9562047999998</v>
      </c>
    </row>
    <row r="1905" spans="1:4">
      <c r="A1905" t="s">
        <v>344</v>
      </c>
      <c r="B1905" t="s">
        <v>678</v>
      </c>
      <c r="C1905" t="s">
        <v>7</v>
      </c>
      <c r="D1905" s="1">
        <v>30.833553037000001</v>
      </c>
    </row>
    <row r="1906" spans="1:4">
      <c r="A1906" t="s">
        <v>344</v>
      </c>
      <c r="B1906" t="s">
        <v>10</v>
      </c>
      <c r="C1906" t="s">
        <v>7</v>
      </c>
      <c r="D1906" s="1">
        <v>571.50645015400005</v>
      </c>
    </row>
    <row r="1907" spans="1:4">
      <c r="A1907" t="s">
        <v>344</v>
      </c>
      <c r="B1907" t="s">
        <v>7</v>
      </c>
      <c r="C1907" t="s">
        <v>8</v>
      </c>
      <c r="D1907" s="1">
        <v>602.34000319100005</v>
      </c>
    </row>
    <row r="1908" spans="1:4">
      <c r="A1908" t="s">
        <v>344</v>
      </c>
      <c r="B1908" t="s">
        <v>678</v>
      </c>
      <c r="C1908" t="s">
        <v>16</v>
      </c>
      <c r="D1908" s="1">
        <v>934.87372221400005</v>
      </c>
    </row>
    <row r="1909" spans="1:4">
      <c r="A1909" t="s">
        <v>344</v>
      </c>
      <c r="B1909" t="s">
        <v>10</v>
      </c>
      <c r="C1909" t="s">
        <v>16</v>
      </c>
      <c r="D1909" s="1">
        <v>54592.416338971001</v>
      </c>
    </row>
    <row r="1910" spans="1:4">
      <c r="A1910" t="s">
        <v>344</v>
      </c>
      <c r="B1910" t="s">
        <v>678</v>
      </c>
      <c r="C1910" t="s">
        <v>17</v>
      </c>
      <c r="D1910" s="1">
        <v>0</v>
      </c>
    </row>
    <row r="1911" spans="1:4">
      <c r="A1911" t="s">
        <v>344</v>
      </c>
      <c r="B1911" t="s">
        <v>10</v>
      </c>
      <c r="C1911" t="s">
        <v>17</v>
      </c>
      <c r="D1911" s="1">
        <v>87.805260000000004</v>
      </c>
    </row>
    <row r="1912" spans="1:4">
      <c r="A1912" t="s">
        <v>344</v>
      </c>
      <c r="B1912" t="s">
        <v>17</v>
      </c>
      <c r="C1912" t="s">
        <v>16</v>
      </c>
      <c r="D1912" s="1">
        <v>87.805260000000004</v>
      </c>
    </row>
    <row r="1913" spans="1:4">
      <c r="A1913" t="s">
        <v>344</v>
      </c>
      <c r="B1913" t="s">
        <v>14</v>
      </c>
      <c r="C1913" t="s">
        <v>678</v>
      </c>
      <c r="D1913" s="1">
        <v>2841.0970000000002</v>
      </c>
    </row>
    <row r="1914" spans="1:4">
      <c r="A1914" t="s">
        <v>344</v>
      </c>
      <c r="B1914" t="s">
        <v>14</v>
      </c>
      <c r="C1914" t="s">
        <v>10</v>
      </c>
      <c r="D1914" s="1">
        <v>38634.22</v>
      </c>
    </row>
    <row r="1915" spans="1:4">
      <c r="A1915" t="s">
        <v>344</v>
      </c>
      <c r="B1915" t="s">
        <v>6</v>
      </c>
      <c r="C1915" t="s">
        <v>14</v>
      </c>
      <c r="D1915" s="1">
        <v>41475.317000000003</v>
      </c>
    </row>
    <row r="1916" spans="1:4">
      <c r="A1916" t="s">
        <v>344</v>
      </c>
      <c r="B1916" t="s">
        <v>8</v>
      </c>
      <c r="C1916" t="s">
        <v>14</v>
      </c>
      <c r="D1916" s="1">
        <v>0</v>
      </c>
    </row>
    <row r="1917" spans="1:4">
      <c r="A1917" t="s">
        <v>344</v>
      </c>
      <c r="B1917" t="s">
        <v>9</v>
      </c>
      <c r="C1917" t="s">
        <v>678</v>
      </c>
      <c r="D1917" s="1">
        <v>592.24509999999998</v>
      </c>
    </row>
    <row r="1918" spans="1:4">
      <c r="A1918" t="s">
        <v>344</v>
      </c>
      <c r="B1918" t="s">
        <v>9</v>
      </c>
      <c r="C1918" t="s">
        <v>10</v>
      </c>
      <c r="D1918" s="1">
        <v>48.832189999999997</v>
      </c>
    </row>
    <row r="1919" spans="1:4">
      <c r="A1919" t="s">
        <v>344</v>
      </c>
      <c r="B1919" t="s">
        <v>6</v>
      </c>
      <c r="C1919" t="s">
        <v>9</v>
      </c>
      <c r="D1919" s="1">
        <v>641.07728999999995</v>
      </c>
    </row>
    <row r="1920" spans="1:4">
      <c r="A1920" t="s">
        <v>344</v>
      </c>
      <c r="B1920" t="s">
        <v>13</v>
      </c>
      <c r="C1920" t="s">
        <v>678</v>
      </c>
      <c r="D1920" s="1">
        <v>1005.905</v>
      </c>
    </row>
    <row r="1921" spans="1:5">
      <c r="A1921" t="s">
        <v>344</v>
      </c>
      <c r="B1921" t="s">
        <v>13</v>
      </c>
      <c r="C1921" t="s">
        <v>10</v>
      </c>
      <c r="D1921" s="1">
        <v>27431.63</v>
      </c>
    </row>
    <row r="1922" spans="1:5">
      <c r="A1922" t="s">
        <v>344</v>
      </c>
      <c r="B1922" t="s">
        <v>6</v>
      </c>
      <c r="C1922" t="s">
        <v>13</v>
      </c>
      <c r="D1922" s="1">
        <v>28437.535</v>
      </c>
    </row>
    <row r="1923" spans="1:5">
      <c r="A1923" t="s">
        <v>344</v>
      </c>
      <c r="B1923" t="s">
        <v>8</v>
      </c>
      <c r="C1923" t="s">
        <v>678</v>
      </c>
      <c r="D1923" s="1">
        <v>-1413.1773528470001</v>
      </c>
    </row>
    <row r="1924" spans="1:5">
      <c r="A1924" t="s">
        <v>344</v>
      </c>
      <c r="B1924" t="s">
        <v>8</v>
      </c>
      <c r="C1924" t="s">
        <v>10</v>
      </c>
      <c r="D1924" s="1">
        <v>721.01554512500002</v>
      </c>
      <c r="E1924" s="1"/>
    </row>
    <row r="1925" spans="1:5">
      <c r="A1925" t="s">
        <v>344</v>
      </c>
      <c r="B1925" t="s">
        <v>12</v>
      </c>
      <c r="C1925" t="s">
        <v>678</v>
      </c>
      <c r="D1925" s="1">
        <v>45.647399991</v>
      </c>
    </row>
    <row r="1926" spans="1:5">
      <c r="A1926" t="s">
        <v>344</v>
      </c>
      <c r="B1926" t="s">
        <v>12</v>
      </c>
      <c r="C1926" t="s">
        <v>10</v>
      </c>
      <c r="D1926" s="1">
        <v>490.72791855999998</v>
      </c>
    </row>
    <row r="1927" spans="1:5">
      <c r="A1927" t="s">
        <v>344</v>
      </c>
      <c r="B1927" t="s">
        <v>8</v>
      </c>
      <c r="C1927" t="s">
        <v>12</v>
      </c>
      <c r="D1927" s="1">
        <v>536.37531855099996</v>
      </c>
    </row>
    <row r="1928" spans="1:5">
      <c r="A1928" t="s">
        <v>344</v>
      </c>
      <c r="B1928" t="s">
        <v>16</v>
      </c>
      <c r="C1928" t="s">
        <v>678</v>
      </c>
      <c r="D1928" s="1">
        <v>883.46500382299996</v>
      </c>
    </row>
    <row r="1929" spans="1:5">
      <c r="A1929" t="s">
        <v>344</v>
      </c>
      <c r="B1929" t="s">
        <v>16</v>
      </c>
      <c r="C1929" t="s">
        <v>10</v>
      </c>
      <c r="D1929" s="1">
        <v>42317.740548538</v>
      </c>
    </row>
    <row r="1930" spans="1:5">
      <c r="A1930" t="s">
        <v>344</v>
      </c>
      <c r="B1930" t="s">
        <v>790</v>
      </c>
      <c r="C1930" t="s">
        <v>678</v>
      </c>
      <c r="D1930" s="1">
        <v>0</v>
      </c>
    </row>
    <row r="1931" spans="1:5">
      <c r="A1931" t="s">
        <v>344</v>
      </c>
      <c r="B1931" t="s">
        <v>790</v>
      </c>
      <c r="C1931" t="s">
        <v>10</v>
      </c>
      <c r="D1931" s="1">
        <v>0</v>
      </c>
    </row>
    <row r="1932" spans="1:5">
      <c r="A1932" t="s">
        <v>344</v>
      </c>
      <c r="B1932" t="s">
        <v>8</v>
      </c>
      <c r="C1932" t="s">
        <v>790</v>
      </c>
      <c r="D1932" s="1">
        <v>0</v>
      </c>
    </row>
    <row r="1933" spans="1:5">
      <c r="A1933" t="s">
        <v>344</v>
      </c>
      <c r="B1933" t="s">
        <v>8</v>
      </c>
      <c r="C1933" t="s">
        <v>6</v>
      </c>
      <c r="D1933" s="1">
        <v>6543.5787499999997</v>
      </c>
    </row>
    <row r="1934" spans="1:5">
      <c r="A1934" t="s">
        <v>344</v>
      </c>
      <c r="B1934" t="s">
        <v>15</v>
      </c>
      <c r="C1934" t="s">
        <v>6</v>
      </c>
      <c r="D1934" s="1">
        <v>19502.86</v>
      </c>
    </row>
    <row r="1935" spans="1:5">
      <c r="A1935" t="s">
        <v>344</v>
      </c>
      <c r="B1935" t="s">
        <v>5</v>
      </c>
      <c r="C1935" t="s">
        <v>6</v>
      </c>
      <c r="D1935" s="1">
        <v>6537.7579999999998</v>
      </c>
    </row>
    <row r="1936" spans="1:5">
      <c r="A1936" t="s">
        <v>344</v>
      </c>
      <c r="B1936" t="s">
        <v>15</v>
      </c>
      <c r="C1936" t="s">
        <v>5</v>
      </c>
      <c r="D1936" s="1">
        <v>6537.7579999999998</v>
      </c>
    </row>
    <row r="1937" spans="1:5">
      <c r="A1937" t="s">
        <v>344</v>
      </c>
      <c r="B1937" t="s">
        <v>6</v>
      </c>
      <c r="C1937" t="s">
        <v>8</v>
      </c>
      <c r="D1937" s="1">
        <v>0</v>
      </c>
    </row>
    <row r="1938" spans="1:5">
      <c r="A1938" t="s">
        <v>344</v>
      </c>
      <c r="B1938" t="s">
        <v>16</v>
      </c>
      <c r="C1938" t="s">
        <v>15</v>
      </c>
      <c r="D1938" s="1">
        <v>12413.889768823001</v>
      </c>
    </row>
    <row r="1939" spans="1:5">
      <c r="A1939" t="s">
        <v>344</v>
      </c>
      <c r="B1939" t="s">
        <v>8</v>
      </c>
      <c r="C1939" t="s">
        <v>15</v>
      </c>
      <c r="D1939" s="1">
        <v>1.6582237E-2</v>
      </c>
      <c r="E1939" s="1"/>
    </row>
    <row r="1940" spans="1:5">
      <c r="A1940" t="s">
        <v>346</v>
      </c>
      <c r="B1940" t="s">
        <v>678</v>
      </c>
      <c r="C1940" t="s">
        <v>678</v>
      </c>
      <c r="D1940" s="1">
        <v>4337.982</v>
      </c>
    </row>
    <row r="1941" spans="1:5">
      <c r="A1941" t="s">
        <v>346</v>
      </c>
      <c r="B1941" t="s">
        <v>10</v>
      </c>
      <c r="C1941" t="s">
        <v>678</v>
      </c>
      <c r="D1941" s="1">
        <v>14514.799000000001</v>
      </c>
    </row>
    <row r="1942" spans="1:5">
      <c r="A1942" t="s">
        <v>346</v>
      </c>
      <c r="B1942" t="s">
        <v>678</v>
      </c>
      <c r="C1942" t="s">
        <v>10</v>
      </c>
      <c r="D1942" s="1">
        <v>29840.922999999999</v>
      </c>
    </row>
    <row r="1943" spans="1:5">
      <c r="A1943" t="s">
        <v>346</v>
      </c>
      <c r="B1943" t="s">
        <v>10</v>
      </c>
      <c r="C1943" t="s">
        <v>10</v>
      </c>
      <c r="D1943" s="1">
        <v>861014.7</v>
      </c>
      <c r="E1943" s="1"/>
    </row>
    <row r="1944" spans="1:5">
      <c r="A1944" t="s">
        <v>346</v>
      </c>
      <c r="B1944" t="s">
        <v>11</v>
      </c>
      <c r="C1944" t="s">
        <v>678</v>
      </c>
      <c r="D1944" s="1">
        <v>11013.490900000001</v>
      </c>
    </row>
    <row r="1945" spans="1:5">
      <c r="A1945" t="s">
        <v>346</v>
      </c>
      <c r="B1945" t="s">
        <v>11</v>
      </c>
      <c r="C1945" t="s">
        <v>10</v>
      </c>
      <c r="D1945" s="1">
        <v>330371.67319</v>
      </c>
    </row>
    <row r="1946" spans="1:5">
      <c r="A1946" t="s">
        <v>346</v>
      </c>
      <c r="B1946" t="s">
        <v>678</v>
      </c>
      <c r="C1946" t="s">
        <v>6</v>
      </c>
      <c r="D1946" s="1">
        <v>11528.157999999999</v>
      </c>
    </row>
    <row r="1947" spans="1:5">
      <c r="A1947" t="s">
        <v>346</v>
      </c>
      <c r="B1947" t="s">
        <v>10</v>
      </c>
      <c r="C1947" t="s">
        <v>6</v>
      </c>
      <c r="D1947" s="1">
        <v>397617.21</v>
      </c>
      <c r="E1947" s="1"/>
    </row>
    <row r="1948" spans="1:5">
      <c r="A1948" t="s">
        <v>346</v>
      </c>
      <c r="B1948" t="s">
        <v>11</v>
      </c>
      <c r="C1948" t="s">
        <v>6</v>
      </c>
      <c r="D1948" s="1">
        <v>309339.30859999999</v>
      </c>
    </row>
    <row r="1949" spans="1:5">
      <c r="A1949" t="s">
        <v>346</v>
      </c>
      <c r="B1949" t="s">
        <v>678</v>
      </c>
      <c r="C1949" t="s">
        <v>8</v>
      </c>
      <c r="D1949" s="1">
        <v>6.4297300000000002E-2</v>
      </c>
    </row>
    <row r="1950" spans="1:5">
      <c r="A1950" t="s">
        <v>346</v>
      </c>
      <c r="B1950" t="s">
        <v>10</v>
      </c>
      <c r="C1950" t="s">
        <v>8</v>
      </c>
      <c r="D1950" s="1">
        <v>186960.23037999999</v>
      </c>
      <c r="E1950" s="1"/>
    </row>
    <row r="1951" spans="1:5">
      <c r="A1951" t="s">
        <v>346</v>
      </c>
      <c r="B1951" t="s">
        <v>11</v>
      </c>
      <c r="C1951" t="s">
        <v>8</v>
      </c>
      <c r="D1951" s="1">
        <v>0</v>
      </c>
    </row>
    <row r="1952" spans="1:5">
      <c r="A1952" t="s">
        <v>346</v>
      </c>
      <c r="B1952" t="s">
        <v>678</v>
      </c>
      <c r="C1952" t="s">
        <v>15</v>
      </c>
      <c r="D1952" s="1">
        <v>221.32218900000001</v>
      </c>
    </row>
    <row r="1953" spans="1:5">
      <c r="A1953" t="s">
        <v>346</v>
      </c>
      <c r="B1953" t="s">
        <v>10</v>
      </c>
      <c r="C1953" t="s">
        <v>15</v>
      </c>
      <c r="D1953" s="1">
        <v>178871.6</v>
      </c>
      <c r="E1953" s="1"/>
    </row>
    <row r="1954" spans="1:5">
      <c r="A1954" t="s">
        <v>346</v>
      </c>
      <c r="B1954" t="s">
        <v>11</v>
      </c>
      <c r="C1954" t="s">
        <v>15</v>
      </c>
      <c r="D1954" s="1">
        <v>11676.96330225</v>
      </c>
    </row>
    <row r="1955" spans="1:5">
      <c r="A1955" t="s">
        <v>346</v>
      </c>
      <c r="B1955" t="s">
        <v>8</v>
      </c>
      <c r="C1955" t="s">
        <v>11</v>
      </c>
      <c r="D1955" s="1">
        <v>662401.43599000003</v>
      </c>
    </row>
    <row r="1956" spans="1:5">
      <c r="A1956" t="s">
        <v>346</v>
      </c>
      <c r="B1956" t="s">
        <v>678</v>
      </c>
      <c r="C1956" t="s">
        <v>7</v>
      </c>
      <c r="D1956" s="1">
        <v>13.610286324</v>
      </c>
    </row>
    <row r="1957" spans="1:5">
      <c r="A1957" t="s">
        <v>346</v>
      </c>
      <c r="B1957" t="s">
        <v>10</v>
      </c>
      <c r="C1957" t="s">
        <v>7</v>
      </c>
      <c r="D1957" s="1">
        <v>634.51593915000001</v>
      </c>
    </row>
    <row r="1958" spans="1:5">
      <c r="A1958" t="s">
        <v>346</v>
      </c>
      <c r="B1958" t="s">
        <v>7</v>
      </c>
      <c r="C1958" t="s">
        <v>8</v>
      </c>
      <c r="D1958" s="1">
        <v>648.12622547399997</v>
      </c>
    </row>
    <row r="1959" spans="1:5">
      <c r="A1959" t="s">
        <v>346</v>
      </c>
      <c r="B1959" t="s">
        <v>678</v>
      </c>
      <c r="C1959" t="s">
        <v>16</v>
      </c>
      <c r="D1959" s="1">
        <v>4676.8073795399996</v>
      </c>
    </row>
    <row r="1960" spans="1:5">
      <c r="A1960" t="s">
        <v>346</v>
      </c>
      <c r="B1960" t="s">
        <v>10</v>
      </c>
      <c r="C1960" t="s">
        <v>16</v>
      </c>
      <c r="D1960" s="1">
        <v>276089.49673000001</v>
      </c>
      <c r="E1960" s="1"/>
    </row>
    <row r="1961" spans="1:5">
      <c r="A1961" t="s">
        <v>346</v>
      </c>
      <c r="B1961" t="s">
        <v>678</v>
      </c>
      <c r="C1961" t="s">
        <v>17</v>
      </c>
      <c r="D1961" s="1">
        <v>0</v>
      </c>
    </row>
    <row r="1962" spans="1:5">
      <c r="A1962" t="s">
        <v>346</v>
      </c>
      <c r="B1962" t="s">
        <v>10</v>
      </c>
      <c r="C1962" t="s">
        <v>17</v>
      </c>
      <c r="D1962" s="1">
        <v>15603.29</v>
      </c>
    </row>
    <row r="1963" spans="1:5">
      <c r="A1963" t="s">
        <v>346</v>
      </c>
      <c r="B1963" t="s">
        <v>17</v>
      </c>
      <c r="C1963" t="s">
        <v>16</v>
      </c>
      <c r="D1963" s="1">
        <v>15603.29</v>
      </c>
    </row>
    <row r="1964" spans="1:5">
      <c r="A1964" t="s">
        <v>346</v>
      </c>
      <c r="B1964" t="s">
        <v>14</v>
      </c>
      <c r="C1964" t="s">
        <v>678</v>
      </c>
      <c r="D1964" s="1">
        <v>8876.1200000000008</v>
      </c>
    </row>
    <row r="1965" spans="1:5">
      <c r="A1965" t="s">
        <v>346</v>
      </c>
      <c r="B1965" t="s">
        <v>14</v>
      </c>
      <c r="C1965" t="s">
        <v>10</v>
      </c>
      <c r="D1965" s="1">
        <v>221250.8</v>
      </c>
      <c r="E1965" s="1"/>
    </row>
    <row r="1966" spans="1:5">
      <c r="A1966" t="s">
        <v>346</v>
      </c>
      <c r="B1966" t="s">
        <v>6</v>
      </c>
      <c r="C1966" t="s">
        <v>14</v>
      </c>
      <c r="D1966" s="1">
        <v>230126.92</v>
      </c>
      <c r="E1966" s="1"/>
    </row>
    <row r="1967" spans="1:5">
      <c r="A1967" t="s">
        <v>346</v>
      </c>
      <c r="B1967" t="s">
        <v>8</v>
      </c>
      <c r="C1967" t="s">
        <v>14</v>
      </c>
      <c r="D1967" s="1">
        <v>0</v>
      </c>
    </row>
    <row r="1968" spans="1:5">
      <c r="A1968" t="s">
        <v>346</v>
      </c>
      <c r="B1968" t="s">
        <v>9</v>
      </c>
      <c r="C1968" t="s">
        <v>678</v>
      </c>
      <c r="D1968" s="1">
        <v>1726.2547</v>
      </c>
    </row>
    <row r="1969" spans="1:5">
      <c r="A1969" t="s">
        <v>346</v>
      </c>
      <c r="B1969" t="s">
        <v>9</v>
      </c>
      <c r="C1969" t="s">
        <v>10</v>
      </c>
      <c r="D1969" s="1">
        <v>624.67790000000002</v>
      </c>
    </row>
    <row r="1970" spans="1:5">
      <c r="A1970" t="s">
        <v>346</v>
      </c>
      <c r="B1970" t="s">
        <v>6</v>
      </c>
      <c r="C1970" t="s">
        <v>9</v>
      </c>
      <c r="D1970" s="1">
        <v>2350.9326000000001</v>
      </c>
    </row>
    <row r="1971" spans="1:5">
      <c r="A1971" t="s">
        <v>346</v>
      </c>
      <c r="B1971" t="s">
        <v>13</v>
      </c>
      <c r="C1971" t="s">
        <v>678</v>
      </c>
      <c r="D1971" s="1">
        <v>2861.252</v>
      </c>
    </row>
    <row r="1972" spans="1:5">
      <c r="A1972" t="s">
        <v>346</v>
      </c>
      <c r="B1972" t="s">
        <v>13</v>
      </c>
      <c r="C1972" t="s">
        <v>10</v>
      </c>
      <c r="D1972" s="1">
        <v>210461.1</v>
      </c>
      <c r="E1972" s="1"/>
    </row>
    <row r="1973" spans="1:5">
      <c r="A1973" t="s">
        <v>346</v>
      </c>
      <c r="B1973" t="s">
        <v>6</v>
      </c>
      <c r="C1973" t="s">
        <v>13</v>
      </c>
      <c r="D1973" s="1">
        <v>213322.35200000001</v>
      </c>
      <c r="E1973" s="1"/>
    </row>
    <row r="1974" spans="1:5">
      <c r="A1974" t="s">
        <v>346</v>
      </c>
      <c r="B1974" t="s">
        <v>8</v>
      </c>
      <c r="C1974" t="s">
        <v>678</v>
      </c>
      <c r="D1974" s="1">
        <v>-4961.3590240359999</v>
      </c>
    </row>
    <row r="1975" spans="1:5">
      <c r="A1975" t="s">
        <v>346</v>
      </c>
      <c r="B1975" t="s">
        <v>8</v>
      </c>
      <c r="C1975" t="s">
        <v>10</v>
      </c>
      <c r="D1975" s="1">
        <v>26945.008582612001</v>
      </c>
      <c r="E1975" s="1"/>
    </row>
    <row r="1976" spans="1:5">
      <c r="A1976" t="s">
        <v>346</v>
      </c>
      <c r="B1976" t="s">
        <v>12</v>
      </c>
      <c r="C1976" t="s">
        <v>678</v>
      </c>
      <c r="D1976" s="1">
        <v>292.15189945100002</v>
      </c>
    </row>
    <row r="1977" spans="1:5">
      <c r="A1977" t="s">
        <v>346</v>
      </c>
      <c r="B1977" t="s">
        <v>12</v>
      </c>
      <c r="C1977" t="s">
        <v>10</v>
      </c>
      <c r="D1977" s="1">
        <v>2635.22321827</v>
      </c>
    </row>
    <row r="1978" spans="1:5">
      <c r="A1978" t="s">
        <v>346</v>
      </c>
      <c r="B1978" t="s">
        <v>8</v>
      </c>
      <c r="C1978" t="s">
        <v>12</v>
      </c>
      <c r="D1978" s="1">
        <v>2927.3751177210002</v>
      </c>
    </row>
    <row r="1979" spans="1:5">
      <c r="A1979" t="s">
        <v>346</v>
      </c>
      <c r="B1979" t="s">
        <v>16</v>
      </c>
      <c r="C1979" t="s">
        <v>678</v>
      </c>
      <c r="D1979" s="1">
        <v>11958.17378666</v>
      </c>
    </row>
    <row r="1980" spans="1:5">
      <c r="A1980" t="s">
        <v>346</v>
      </c>
      <c r="B1980" t="s">
        <v>16</v>
      </c>
      <c r="C1980" t="s">
        <v>10</v>
      </c>
      <c r="D1980" s="1">
        <v>248161.74471</v>
      </c>
      <c r="E1980" s="1"/>
    </row>
    <row r="1981" spans="1:5">
      <c r="A1981" t="s">
        <v>346</v>
      </c>
      <c r="B1981" t="s">
        <v>790</v>
      </c>
      <c r="C1981" t="s">
        <v>678</v>
      </c>
      <c r="D1981" s="1">
        <v>0</v>
      </c>
    </row>
    <row r="1982" spans="1:5">
      <c r="A1982" t="s">
        <v>346</v>
      </c>
      <c r="B1982" t="s">
        <v>790</v>
      </c>
      <c r="C1982" t="s">
        <v>10</v>
      </c>
      <c r="D1982" s="1">
        <v>0</v>
      </c>
    </row>
    <row r="1983" spans="1:5">
      <c r="A1983" t="s">
        <v>346</v>
      </c>
      <c r="B1983" t="s">
        <v>8</v>
      </c>
      <c r="C1983" t="s">
        <v>790</v>
      </c>
      <c r="D1983" s="1">
        <v>0</v>
      </c>
    </row>
    <row r="1984" spans="1:5">
      <c r="A1984" t="s">
        <v>346</v>
      </c>
      <c r="B1984" t="s">
        <v>8</v>
      </c>
      <c r="C1984" t="s">
        <v>6</v>
      </c>
      <c r="D1984" s="1">
        <v>-499704.07199999999</v>
      </c>
    </row>
    <row r="1985" spans="1:5">
      <c r="A1985" t="s">
        <v>346</v>
      </c>
      <c r="B1985" t="s">
        <v>15</v>
      </c>
      <c r="C1985" t="s">
        <v>6</v>
      </c>
      <c r="D1985" s="1">
        <v>89128.2</v>
      </c>
    </row>
    <row r="1986" spans="1:5">
      <c r="A1986" t="s">
        <v>346</v>
      </c>
      <c r="B1986" t="s">
        <v>5</v>
      </c>
      <c r="C1986" t="s">
        <v>6</v>
      </c>
      <c r="D1986" s="1">
        <v>137891.4</v>
      </c>
      <c r="E1986" s="1"/>
    </row>
    <row r="1987" spans="1:5">
      <c r="A1987" t="s">
        <v>346</v>
      </c>
      <c r="B1987" t="s">
        <v>15</v>
      </c>
      <c r="C1987" t="s">
        <v>5</v>
      </c>
      <c r="D1987" s="1">
        <v>137891.4</v>
      </c>
      <c r="E1987" s="1"/>
    </row>
    <row r="1988" spans="1:5">
      <c r="A1988" t="s">
        <v>346</v>
      </c>
      <c r="B1988" t="s">
        <v>6</v>
      </c>
      <c r="C1988" t="s">
        <v>8</v>
      </c>
      <c r="D1988" s="1">
        <v>0</v>
      </c>
    </row>
    <row r="1989" spans="1:5">
      <c r="A1989" t="s">
        <v>346</v>
      </c>
      <c r="B1989" t="s">
        <v>16</v>
      </c>
      <c r="C1989" t="s">
        <v>15</v>
      </c>
      <c r="D1989" s="1">
        <v>36249.675612653002</v>
      </c>
    </row>
    <row r="1990" spans="1:5">
      <c r="A1990" t="s">
        <v>346</v>
      </c>
      <c r="B1990" t="s">
        <v>8</v>
      </c>
      <c r="C1990" t="s">
        <v>15</v>
      </c>
      <c r="D1990" s="1">
        <v>3.2234226999999997E-2</v>
      </c>
      <c r="E1990" s="1"/>
    </row>
    <row r="1991" spans="1:5">
      <c r="A1991" t="s">
        <v>354</v>
      </c>
      <c r="B1991" t="s">
        <v>678</v>
      </c>
      <c r="C1991" t="s">
        <v>678</v>
      </c>
      <c r="D1991" s="1">
        <v>1881.1884</v>
      </c>
    </row>
    <row r="1992" spans="1:5">
      <c r="A1992" t="s">
        <v>354</v>
      </c>
      <c r="B1992" t="s">
        <v>10</v>
      </c>
      <c r="C1992" t="s">
        <v>678</v>
      </c>
      <c r="D1992" s="1">
        <v>11993.407999999999</v>
      </c>
    </row>
    <row r="1993" spans="1:5">
      <c r="A1993" t="s">
        <v>354</v>
      </c>
      <c r="B1993" t="s">
        <v>678</v>
      </c>
      <c r="C1993" t="s">
        <v>10</v>
      </c>
      <c r="D1993" s="1">
        <v>18198.008999999998</v>
      </c>
    </row>
    <row r="1994" spans="1:5">
      <c r="A1994" t="s">
        <v>354</v>
      </c>
      <c r="B1994" t="s">
        <v>10</v>
      </c>
      <c r="C1994" t="s">
        <v>10</v>
      </c>
      <c r="D1994" s="1">
        <v>378489</v>
      </c>
    </row>
    <row r="1995" spans="1:5">
      <c r="A1995" t="s">
        <v>354</v>
      </c>
      <c r="B1995" t="s">
        <v>11</v>
      </c>
      <c r="C1995" t="s">
        <v>678</v>
      </c>
      <c r="D1995" s="1">
        <v>0</v>
      </c>
    </row>
    <row r="1996" spans="1:5">
      <c r="A1996" t="s">
        <v>354</v>
      </c>
      <c r="B1996" t="s">
        <v>11</v>
      </c>
      <c r="C1996" t="s">
        <v>10</v>
      </c>
      <c r="D1996" s="1">
        <v>4323.3611000000001</v>
      </c>
    </row>
    <row r="1997" spans="1:5">
      <c r="A1997" t="s">
        <v>354</v>
      </c>
      <c r="B1997" t="s">
        <v>678</v>
      </c>
      <c r="C1997" t="s">
        <v>6</v>
      </c>
      <c r="D1997" s="1">
        <v>2188.8674999999998</v>
      </c>
    </row>
    <row r="1998" spans="1:5">
      <c r="A1998" t="s">
        <v>354</v>
      </c>
      <c r="B1998" t="s">
        <v>10</v>
      </c>
      <c r="C1998" t="s">
        <v>6</v>
      </c>
      <c r="D1998" s="1">
        <v>198390.04</v>
      </c>
    </row>
    <row r="1999" spans="1:5">
      <c r="A1999" t="s">
        <v>354</v>
      </c>
      <c r="B1999" t="s">
        <v>11</v>
      </c>
      <c r="C1999" t="s">
        <v>6</v>
      </c>
      <c r="D1999" s="1">
        <v>14494.78289</v>
      </c>
    </row>
    <row r="2000" spans="1:5">
      <c r="A2000" t="s">
        <v>354</v>
      </c>
      <c r="B2000" t="s">
        <v>678</v>
      </c>
      <c r="C2000" t="s">
        <v>8</v>
      </c>
      <c r="D2000" s="1">
        <v>67.785630076000004</v>
      </c>
    </row>
    <row r="2001" spans="1:4">
      <c r="A2001" t="s">
        <v>354</v>
      </c>
      <c r="B2001" t="s">
        <v>10</v>
      </c>
      <c r="C2001" t="s">
        <v>8</v>
      </c>
      <c r="D2001" s="1">
        <v>49880.938600000001</v>
      </c>
    </row>
    <row r="2002" spans="1:4">
      <c r="A2002" t="s">
        <v>354</v>
      </c>
      <c r="B2002" t="s">
        <v>11</v>
      </c>
      <c r="C2002" t="s">
        <v>8</v>
      </c>
      <c r="D2002" s="1">
        <v>0</v>
      </c>
    </row>
    <row r="2003" spans="1:4">
      <c r="A2003" t="s">
        <v>354</v>
      </c>
      <c r="B2003" t="s">
        <v>678</v>
      </c>
      <c r="C2003" t="s">
        <v>15</v>
      </c>
      <c r="D2003" s="1">
        <v>144.896421</v>
      </c>
    </row>
    <row r="2004" spans="1:4">
      <c r="A2004" t="s">
        <v>354</v>
      </c>
      <c r="B2004" t="s">
        <v>10</v>
      </c>
      <c r="C2004" t="s">
        <v>15</v>
      </c>
      <c r="D2004" s="1">
        <v>67691.649999999994</v>
      </c>
    </row>
    <row r="2005" spans="1:4">
      <c r="A2005" t="s">
        <v>354</v>
      </c>
      <c r="B2005" t="s">
        <v>11</v>
      </c>
      <c r="C2005" t="s">
        <v>15</v>
      </c>
      <c r="D2005" s="1">
        <v>5189.2041207100001</v>
      </c>
    </row>
    <row r="2006" spans="1:4">
      <c r="A2006" t="s">
        <v>354</v>
      </c>
      <c r="B2006" t="s">
        <v>8</v>
      </c>
      <c r="C2006" t="s">
        <v>11</v>
      </c>
      <c r="D2006" s="1">
        <v>24007.348110710001</v>
      </c>
    </row>
    <row r="2007" spans="1:4">
      <c r="A2007" t="s">
        <v>354</v>
      </c>
      <c r="B2007" t="s">
        <v>678</v>
      </c>
      <c r="C2007" t="s">
        <v>7</v>
      </c>
      <c r="D2007" s="1">
        <v>54.304563754999997</v>
      </c>
    </row>
    <row r="2008" spans="1:4">
      <c r="A2008" t="s">
        <v>354</v>
      </c>
      <c r="B2008" t="s">
        <v>10</v>
      </c>
      <c r="C2008" t="s">
        <v>7</v>
      </c>
      <c r="D2008" s="1">
        <v>1419.8984729900001</v>
      </c>
    </row>
    <row r="2009" spans="1:4">
      <c r="A2009" t="s">
        <v>354</v>
      </c>
      <c r="B2009" t="s">
        <v>7</v>
      </c>
      <c r="C2009" t="s">
        <v>8</v>
      </c>
      <c r="D2009" s="1">
        <v>1474.203036746</v>
      </c>
    </row>
    <row r="2010" spans="1:4">
      <c r="A2010" t="s">
        <v>354</v>
      </c>
      <c r="B2010" t="s">
        <v>678</v>
      </c>
      <c r="C2010" t="s">
        <v>16</v>
      </c>
      <c r="D2010" s="1">
        <v>10313.129775130001</v>
      </c>
    </row>
    <row r="2011" spans="1:4">
      <c r="A2011" t="s">
        <v>354</v>
      </c>
      <c r="B2011" t="s">
        <v>10</v>
      </c>
      <c r="C2011" t="s">
        <v>16</v>
      </c>
      <c r="D2011" s="1">
        <v>194468.95151000001</v>
      </c>
    </row>
    <row r="2012" spans="1:4">
      <c r="A2012" t="s">
        <v>354</v>
      </c>
      <c r="B2012" t="s">
        <v>678</v>
      </c>
      <c r="C2012" t="s">
        <v>17</v>
      </c>
      <c r="D2012" s="1">
        <v>0</v>
      </c>
    </row>
    <row r="2013" spans="1:4">
      <c r="A2013" t="s">
        <v>354</v>
      </c>
      <c r="B2013" t="s">
        <v>10</v>
      </c>
      <c r="C2013" t="s">
        <v>17</v>
      </c>
      <c r="D2013" s="1">
        <v>12817.06</v>
      </c>
    </row>
    <row r="2014" spans="1:4">
      <c r="A2014" t="s">
        <v>354</v>
      </c>
      <c r="B2014" t="s">
        <v>17</v>
      </c>
      <c r="C2014" t="s">
        <v>16</v>
      </c>
      <c r="D2014" s="1">
        <v>12817.06</v>
      </c>
    </row>
    <row r="2015" spans="1:4">
      <c r="A2015" t="s">
        <v>354</v>
      </c>
      <c r="B2015" t="s">
        <v>14</v>
      </c>
      <c r="C2015" t="s">
        <v>678</v>
      </c>
      <c r="D2015" s="1">
        <v>7640.1490000000003</v>
      </c>
    </row>
    <row r="2016" spans="1:4">
      <c r="A2016" t="s">
        <v>354</v>
      </c>
      <c r="B2016" t="s">
        <v>14</v>
      </c>
      <c r="C2016" t="s">
        <v>10</v>
      </c>
      <c r="D2016" s="1">
        <v>179109</v>
      </c>
    </row>
    <row r="2017" spans="1:4">
      <c r="A2017" t="s">
        <v>354</v>
      </c>
      <c r="B2017" t="s">
        <v>6</v>
      </c>
      <c r="C2017" t="s">
        <v>14</v>
      </c>
      <c r="D2017" s="1">
        <v>186749.149</v>
      </c>
    </row>
    <row r="2018" spans="1:4">
      <c r="A2018" t="s">
        <v>354</v>
      </c>
      <c r="B2018" t="s">
        <v>8</v>
      </c>
      <c r="C2018" t="s">
        <v>14</v>
      </c>
      <c r="D2018" s="1">
        <v>0</v>
      </c>
    </row>
    <row r="2019" spans="1:4">
      <c r="A2019" t="s">
        <v>354</v>
      </c>
      <c r="B2019" t="s">
        <v>9</v>
      </c>
      <c r="C2019" t="s">
        <v>678</v>
      </c>
      <c r="D2019" s="1">
        <v>1338.3579</v>
      </c>
    </row>
    <row r="2020" spans="1:4">
      <c r="A2020" t="s">
        <v>354</v>
      </c>
      <c r="B2020" t="s">
        <v>9</v>
      </c>
      <c r="C2020" t="s">
        <v>10</v>
      </c>
      <c r="D2020" s="1">
        <v>2887.3969999999999</v>
      </c>
    </row>
    <row r="2021" spans="1:4">
      <c r="A2021" t="s">
        <v>354</v>
      </c>
      <c r="B2021" t="s">
        <v>6</v>
      </c>
      <c r="C2021" t="s">
        <v>9</v>
      </c>
      <c r="D2021" s="1">
        <v>4225.7548999999999</v>
      </c>
    </row>
    <row r="2022" spans="1:4">
      <c r="A2022" t="s">
        <v>354</v>
      </c>
      <c r="B2022" t="s">
        <v>13</v>
      </c>
      <c r="C2022" t="s">
        <v>678</v>
      </c>
      <c r="D2022" s="1">
        <v>2471.797</v>
      </c>
    </row>
    <row r="2023" spans="1:4">
      <c r="A2023" t="s">
        <v>354</v>
      </c>
      <c r="B2023" t="s">
        <v>13</v>
      </c>
      <c r="C2023" t="s">
        <v>10</v>
      </c>
      <c r="D2023" s="1">
        <v>131432.6</v>
      </c>
    </row>
    <row r="2024" spans="1:4">
      <c r="A2024" t="s">
        <v>354</v>
      </c>
      <c r="B2024" t="s">
        <v>6</v>
      </c>
      <c r="C2024" t="s">
        <v>13</v>
      </c>
      <c r="D2024" s="1">
        <v>133904.397</v>
      </c>
    </row>
    <row r="2025" spans="1:4">
      <c r="A2025" t="s">
        <v>354</v>
      </c>
      <c r="B2025" t="s">
        <v>8</v>
      </c>
      <c r="C2025" t="s">
        <v>678</v>
      </c>
      <c r="D2025" s="1">
        <v>-1685.638290115</v>
      </c>
    </row>
    <row r="2026" spans="1:4">
      <c r="A2026" t="s">
        <v>354</v>
      </c>
      <c r="B2026" t="s">
        <v>8</v>
      </c>
      <c r="C2026" t="s">
        <v>10</v>
      </c>
      <c r="D2026" s="1">
        <v>5717.1128853270002</v>
      </c>
    </row>
    <row r="2027" spans="1:4">
      <c r="A2027" t="s">
        <v>354</v>
      </c>
      <c r="B2027" t="s">
        <v>12</v>
      </c>
      <c r="C2027" t="s">
        <v>678</v>
      </c>
      <c r="D2027" s="1">
        <v>118.470536306</v>
      </c>
    </row>
    <row r="2028" spans="1:4">
      <c r="A2028" t="s">
        <v>354</v>
      </c>
      <c r="B2028" t="s">
        <v>12</v>
      </c>
      <c r="C2028" t="s">
        <v>10</v>
      </c>
      <c r="D2028" s="1">
        <v>2227.7149969010002</v>
      </c>
    </row>
    <row r="2029" spans="1:4">
      <c r="A2029" t="s">
        <v>354</v>
      </c>
      <c r="B2029" t="s">
        <v>8</v>
      </c>
      <c r="C2029" t="s">
        <v>12</v>
      </c>
      <c r="D2029" s="1">
        <v>2346.1855332069999</v>
      </c>
    </row>
    <row r="2030" spans="1:4">
      <c r="A2030" t="s">
        <v>354</v>
      </c>
      <c r="B2030" t="s">
        <v>16</v>
      </c>
      <c r="C2030" t="s">
        <v>678</v>
      </c>
      <c r="D2030" s="1">
        <v>9090.4481838350002</v>
      </c>
    </row>
    <row r="2031" spans="1:4">
      <c r="A2031" t="s">
        <v>354</v>
      </c>
      <c r="B2031" t="s">
        <v>16</v>
      </c>
      <c r="C2031" t="s">
        <v>10</v>
      </c>
      <c r="D2031" s="1">
        <v>192766.70413</v>
      </c>
    </row>
    <row r="2032" spans="1:4">
      <c r="A2032" t="s">
        <v>354</v>
      </c>
      <c r="B2032" t="s">
        <v>790</v>
      </c>
      <c r="C2032" t="s">
        <v>678</v>
      </c>
      <c r="D2032" s="1">
        <v>0</v>
      </c>
    </row>
    <row r="2033" spans="1:5">
      <c r="A2033" t="s">
        <v>354</v>
      </c>
      <c r="B2033" t="s">
        <v>790</v>
      </c>
      <c r="C2033" t="s">
        <v>10</v>
      </c>
      <c r="D2033" s="1">
        <v>0</v>
      </c>
    </row>
    <row r="2034" spans="1:5">
      <c r="A2034" t="s">
        <v>354</v>
      </c>
      <c r="B2034" t="s">
        <v>8</v>
      </c>
      <c r="C2034" t="s">
        <v>790</v>
      </c>
      <c r="D2034" s="1">
        <v>0</v>
      </c>
    </row>
    <row r="2035" spans="1:5">
      <c r="A2035" t="s">
        <v>354</v>
      </c>
      <c r="B2035" t="s">
        <v>8</v>
      </c>
      <c r="C2035" t="s">
        <v>6</v>
      </c>
      <c r="D2035" s="1">
        <v>21037.870510000001</v>
      </c>
    </row>
    <row r="2036" spans="1:5">
      <c r="A2036" t="s">
        <v>354</v>
      </c>
      <c r="B2036" t="s">
        <v>15</v>
      </c>
      <c r="C2036" t="s">
        <v>6</v>
      </c>
      <c r="D2036" s="1">
        <v>45203.57</v>
      </c>
    </row>
    <row r="2037" spans="1:5">
      <c r="A2037" t="s">
        <v>354</v>
      </c>
      <c r="B2037" t="s">
        <v>5</v>
      </c>
      <c r="C2037" t="s">
        <v>6</v>
      </c>
      <c r="D2037" s="1">
        <v>43564.17</v>
      </c>
    </row>
    <row r="2038" spans="1:5">
      <c r="A2038" t="s">
        <v>354</v>
      </c>
      <c r="B2038" t="s">
        <v>15</v>
      </c>
      <c r="C2038" t="s">
        <v>5</v>
      </c>
      <c r="D2038" s="1">
        <v>43564.17</v>
      </c>
    </row>
    <row r="2039" spans="1:5">
      <c r="A2039" t="s">
        <v>354</v>
      </c>
      <c r="B2039" t="s">
        <v>6</v>
      </c>
      <c r="C2039" t="s">
        <v>8</v>
      </c>
      <c r="D2039" s="1">
        <v>0</v>
      </c>
    </row>
    <row r="2040" spans="1:5">
      <c r="A2040" t="s">
        <v>354</v>
      </c>
      <c r="B2040" t="s">
        <v>16</v>
      </c>
      <c r="C2040" t="s">
        <v>15</v>
      </c>
      <c r="D2040" s="1">
        <v>15741.988976662</v>
      </c>
    </row>
    <row r="2041" spans="1:5">
      <c r="A2041" t="s">
        <v>354</v>
      </c>
      <c r="B2041" t="s">
        <v>8</v>
      </c>
      <c r="C2041" t="s">
        <v>15</v>
      </c>
      <c r="D2041" s="1">
        <v>4.8517691000000002E-2</v>
      </c>
    </row>
    <row r="2042" spans="1:5">
      <c r="A2042" t="s">
        <v>356</v>
      </c>
      <c r="B2042" t="s">
        <v>678</v>
      </c>
      <c r="C2042" t="s">
        <v>678</v>
      </c>
      <c r="D2042" s="1">
        <v>886.05110000000002</v>
      </c>
    </row>
    <row r="2043" spans="1:5">
      <c r="A2043" t="s">
        <v>356</v>
      </c>
      <c r="B2043" t="s">
        <v>10</v>
      </c>
      <c r="C2043" t="s">
        <v>678</v>
      </c>
      <c r="D2043" s="1">
        <v>3363.9155999999998</v>
      </c>
    </row>
    <row r="2044" spans="1:5">
      <c r="A2044" t="s">
        <v>356</v>
      </c>
      <c r="B2044" t="s">
        <v>678</v>
      </c>
      <c r="C2044" t="s">
        <v>10</v>
      </c>
      <c r="D2044" s="1">
        <v>6167.067</v>
      </c>
    </row>
    <row r="2045" spans="1:5">
      <c r="A2045" t="s">
        <v>356</v>
      </c>
      <c r="B2045" t="s">
        <v>10</v>
      </c>
      <c r="C2045" t="s">
        <v>10</v>
      </c>
      <c r="D2045">
        <v>77797.399999999994</v>
      </c>
      <c r="E2045" s="1"/>
    </row>
    <row r="2046" spans="1:5">
      <c r="A2046" t="s">
        <v>356</v>
      </c>
      <c r="B2046" t="s">
        <v>11</v>
      </c>
      <c r="C2046" t="s">
        <v>678</v>
      </c>
      <c r="D2046">
        <v>982.48671000000002</v>
      </c>
    </row>
    <row r="2047" spans="1:5">
      <c r="A2047" t="s">
        <v>356</v>
      </c>
      <c r="B2047" t="s">
        <v>11</v>
      </c>
      <c r="C2047" t="s">
        <v>10</v>
      </c>
      <c r="D2047">
        <v>12858.76086</v>
      </c>
    </row>
    <row r="2048" spans="1:5">
      <c r="A2048" t="s">
        <v>356</v>
      </c>
      <c r="B2048" t="s">
        <v>678</v>
      </c>
      <c r="C2048" t="s">
        <v>6</v>
      </c>
      <c r="D2048">
        <v>3189.5232999999998</v>
      </c>
    </row>
    <row r="2049" spans="1:4">
      <c r="A2049" t="s">
        <v>356</v>
      </c>
      <c r="B2049" t="s">
        <v>10</v>
      </c>
      <c r="C2049" t="s">
        <v>6</v>
      </c>
      <c r="D2049">
        <v>49739.33</v>
      </c>
    </row>
    <row r="2050" spans="1:4">
      <c r="A2050" t="s">
        <v>356</v>
      </c>
      <c r="B2050" t="s">
        <v>11</v>
      </c>
      <c r="C2050" t="s">
        <v>6</v>
      </c>
      <c r="D2050">
        <v>12235.20177</v>
      </c>
    </row>
    <row r="2051" spans="1:4">
      <c r="A2051" t="s">
        <v>356</v>
      </c>
      <c r="B2051" t="s">
        <v>678</v>
      </c>
      <c r="C2051" t="s">
        <v>8</v>
      </c>
      <c r="D2051">
        <v>5.6948750000000003E-3</v>
      </c>
    </row>
    <row r="2052" spans="1:4">
      <c r="A2052" t="s">
        <v>356</v>
      </c>
      <c r="B2052" t="s">
        <v>10</v>
      </c>
      <c r="C2052" t="s">
        <v>8</v>
      </c>
      <c r="D2052">
        <v>18883.405734</v>
      </c>
    </row>
    <row r="2053" spans="1:4">
      <c r="A2053" t="s">
        <v>356</v>
      </c>
      <c r="B2053" t="s">
        <v>11</v>
      </c>
      <c r="C2053" t="s">
        <v>8</v>
      </c>
      <c r="D2053">
        <v>0</v>
      </c>
    </row>
    <row r="2054" spans="1:4">
      <c r="A2054" t="s">
        <v>356</v>
      </c>
      <c r="B2054" t="s">
        <v>678</v>
      </c>
      <c r="C2054" t="s">
        <v>15</v>
      </c>
      <c r="D2054">
        <v>140.12322</v>
      </c>
    </row>
    <row r="2055" spans="1:4">
      <c r="A2055" t="s">
        <v>356</v>
      </c>
      <c r="B2055" t="s">
        <v>10</v>
      </c>
      <c r="C2055" t="s">
        <v>15</v>
      </c>
      <c r="D2055">
        <v>24084.544000000002</v>
      </c>
    </row>
    <row r="2056" spans="1:4">
      <c r="A2056" t="s">
        <v>356</v>
      </c>
      <c r="B2056" t="s">
        <v>11</v>
      </c>
      <c r="C2056" t="s">
        <v>15</v>
      </c>
      <c r="D2056">
        <v>1375.717009</v>
      </c>
    </row>
    <row r="2057" spans="1:4">
      <c r="A2057" t="s">
        <v>356</v>
      </c>
      <c r="B2057" t="s">
        <v>8</v>
      </c>
      <c r="C2057" t="s">
        <v>11</v>
      </c>
      <c r="D2057">
        <v>27452.166348999999</v>
      </c>
    </row>
    <row r="2058" spans="1:4">
      <c r="A2058" t="s">
        <v>356</v>
      </c>
      <c r="B2058" t="s">
        <v>678</v>
      </c>
      <c r="C2058" t="s">
        <v>7</v>
      </c>
      <c r="D2058">
        <v>0.78416550399999996</v>
      </c>
    </row>
    <row r="2059" spans="1:4">
      <c r="A2059" t="s">
        <v>356</v>
      </c>
      <c r="B2059" t="s">
        <v>10</v>
      </c>
      <c r="C2059" t="s">
        <v>7</v>
      </c>
      <c r="D2059">
        <v>45.723519303000003</v>
      </c>
    </row>
    <row r="2060" spans="1:4">
      <c r="A2060" t="s">
        <v>356</v>
      </c>
      <c r="B2060" t="s">
        <v>7</v>
      </c>
      <c r="C2060" t="s">
        <v>8</v>
      </c>
      <c r="D2060">
        <v>46.507684806999997</v>
      </c>
    </row>
    <row r="2061" spans="1:4">
      <c r="A2061" t="s">
        <v>356</v>
      </c>
      <c r="B2061" t="s">
        <v>678</v>
      </c>
      <c r="C2061" t="s">
        <v>16</v>
      </c>
      <c r="D2061">
        <v>428.40647541499999</v>
      </c>
    </row>
    <row r="2062" spans="1:4">
      <c r="A2062" t="s">
        <v>356</v>
      </c>
      <c r="B2062" t="s">
        <v>10</v>
      </c>
      <c r="C2062" t="s">
        <v>16</v>
      </c>
      <c r="D2062">
        <v>27270.064641887999</v>
      </c>
    </row>
    <row r="2063" spans="1:4">
      <c r="A2063" t="s">
        <v>356</v>
      </c>
      <c r="B2063" t="s">
        <v>678</v>
      </c>
      <c r="C2063" t="s">
        <v>17</v>
      </c>
      <c r="D2063">
        <v>0</v>
      </c>
    </row>
    <row r="2064" spans="1:4">
      <c r="A2064" t="s">
        <v>356</v>
      </c>
      <c r="B2064" t="s">
        <v>10</v>
      </c>
      <c r="C2064" t="s">
        <v>17</v>
      </c>
      <c r="D2064">
        <v>393.33229999999998</v>
      </c>
    </row>
    <row r="2065" spans="1:5">
      <c r="A2065" t="s">
        <v>356</v>
      </c>
      <c r="B2065" t="s">
        <v>17</v>
      </c>
      <c r="C2065" t="s">
        <v>16</v>
      </c>
      <c r="D2065">
        <v>393.33229999999998</v>
      </c>
    </row>
    <row r="2066" spans="1:5">
      <c r="A2066" t="s">
        <v>356</v>
      </c>
      <c r="B2066" t="s">
        <v>14</v>
      </c>
      <c r="C2066" t="s">
        <v>678</v>
      </c>
      <c r="D2066">
        <v>1520.325</v>
      </c>
    </row>
    <row r="2067" spans="1:5">
      <c r="A2067" t="s">
        <v>356</v>
      </c>
      <c r="B2067" t="s">
        <v>14</v>
      </c>
      <c r="C2067" t="s">
        <v>10</v>
      </c>
      <c r="D2067">
        <v>34917.46</v>
      </c>
    </row>
    <row r="2068" spans="1:5">
      <c r="A2068" t="s">
        <v>356</v>
      </c>
      <c r="B2068" t="s">
        <v>6</v>
      </c>
      <c r="C2068" t="s">
        <v>14</v>
      </c>
      <c r="D2068">
        <v>36437.785000000003</v>
      </c>
    </row>
    <row r="2069" spans="1:5">
      <c r="A2069" t="s">
        <v>356</v>
      </c>
      <c r="B2069" t="s">
        <v>8</v>
      </c>
      <c r="C2069" t="s">
        <v>14</v>
      </c>
      <c r="D2069">
        <v>0</v>
      </c>
    </row>
    <row r="2070" spans="1:5">
      <c r="A2070" t="s">
        <v>356</v>
      </c>
      <c r="B2070" t="s">
        <v>9</v>
      </c>
      <c r="C2070" t="s">
        <v>678</v>
      </c>
      <c r="D2070">
        <v>439.75810000000001</v>
      </c>
    </row>
    <row r="2071" spans="1:5">
      <c r="A2071" t="s">
        <v>356</v>
      </c>
      <c r="B2071" t="s">
        <v>9</v>
      </c>
      <c r="C2071" t="s">
        <v>10</v>
      </c>
      <c r="D2071">
        <v>97.72784</v>
      </c>
    </row>
    <row r="2072" spans="1:5">
      <c r="A2072" t="s">
        <v>356</v>
      </c>
      <c r="B2072" t="s">
        <v>6</v>
      </c>
      <c r="C2072" t="s">
        <v>9</v>
      </c>
      <c r="D2072">
        <v>537.48594000000003</v>
      </c>
    </row>
    <row r="2073" spans="1:5">
      <c r="A2073" t="s">
        <v>356</v>
      </c>
      <c r="B2073" t="s">
        <v>13</v>
      </c>
      <c r="C2073" t="s">
        <v>678</v>
      </c>
      <c r="D2073">
        <v>1135.902</v>
      </c>
    </row>
    <row r="2074" spans="1:5">
      <c r="A2074" t="s">
        <v>356</v>
      </c>
      <c r="B2074" t="s">
        <v>13</v>
      </c>
      <c r="C2074" t="s">
        <v>10</v>
      </c>
      <c r="D2074">
        <v>29416.39</v>
      </c>
    </row>
    <row r="2075" spans="1:5">
      <c r="A2075" t="s">
        <v>356</v>
      </c>
      <c r="B2075" t="s">
        <v>6</v>
      </c>
      <c r="C2075" t="s">
        <v>13</v>
      </c>
      <c r="D2075">
        <v>30552.292000000001</v>
      </c>
    </row>
    <row r="2076" spans="1:5">
      <c r="A2076" t="s">
        <v>356</v>
      </c>
      <c r="B2076" t="s">
        <v>8</v>
      </c>
      <c r="C2076" t="s">
        <v>678</v>
      </c>
      <c r="D2076">
        <v>35.218670492000001</v>
      </c>
    </row>
    <row r="2077" spans="1:5">
      <c r="A2077" t="s">
        <v>356</v>
      </c>
      <c r="B2077" t="s">
        <v>8</v>
      </c>
      <c r="C2077" t="s">
        <v>10</v>
      </c>
      <c r="D2077">
        <v>-756.54923880900003</v>
      </c>
      <c r="E2077" s="1"/>
    </row>
    <row r="2078" spans="1:5">
      <c r="A2078" t="s">
        <v>356</v>
      </c>
      <c r="B2078" t="s">
        <v>12</v>
      </c>
      <c r="C2078" t="s">
        <v>678</v>
      </c>
      <c r="D2078">
        <v>25.959447391000001</v>
      </c>
    </row>
    <row r="2079" spans="1:5">
      <c r="A2079" t="s">
        <v>356</v>
      </c>
      <c r="B2079" t="s">
        <v>12</v>
      </c>
      <c r="C2079" t="s">
        <v>10</v>
      </c>
      <c r="D2079">
        <v>437.64974471199997</v>
      </c>
    </row>
    <row r="2080" spans="1:5">
      <c r="A2080" t="s">
        <v>356</v>
      </c>
      <c r="B2080" t="s">
        <v>8</v>
      </c>
      <c r="C2080" t="s">
        <v>12</v>
      </c>
      <c r="D2080">
        <v>463.609192103</v>
      </c>
    </row>
    <row r="2081" spans="1:5">
      <c r="A2081" t="s">
        <v>356</v>
      </c>
      <c r="B2081" t="s">
        <v>16</v>
      </c>
      <c r="C2081" t="s">
        <v>678</v>
      </c>
      <c r="D2081">
        <v>2422.3444849080001</v>
      </c>
    </row>
    <row r="2082" spans="1:5">
      <c r="A2082" t="s">
        <v>356</v>
      </c>
      <c r="B2082" t="s">
        <v>16</v>
      </c>
      <c r="C2082" t="s">
        <v>10</v>
      </c>
      <c r="D2082">
        <v>40641.816431113999</v>
      </c>
    </row>
    <row r="2083" spans="1:5">
      <c r="A2083" t="s">
        <v>356</v>
      </c>
      <c r="B2083" t="s">
        <v>790</v>
      </c>
      <c r="C2083" t="s">
        <v>678</v>
      </c>
      <c r="D2083">
        <v>0</v>
      </c>
    </row>
    <row r="2084" spans="1:5">
      <c r="A2084" t="s">
        <v>356</v>
      </c>
      <c r="B2084" t="s">
        <v>790</v>
      </c>
      <c r="C2084" t="s">
        <v>10</v>
      </c>
      <c r="D2084">
        <v>0</v>
      </c>
    </row>
    <row r="2085" spans="1:5">
      <c r="A2085" t="s">
        <v>356</v>
      </c>
      <c r="B2085" t="s">
        <v>8</v>
      </c>
      <c r="C2085" t="s">
        <v>790</v>
      </c>
      <c r="D2085">
        <v>0</v>
      </c>
    </row>
    <row r="2086" spans="1:5">
      <c r="A2086" t="s">
        <v>356</v>
      </c>
      <c r="B2086" t="s">
        <v>8</v>
      </c>
      <c r="C2086" t="s">
        <v>6</v>
      </c>
      <c r="D2086">
        <v>-8264.5326299999997</v>
      </c>
    </row>
    <row r="2087" spans="1:5">
      <c r="A2087" t="s">
        <v>356</v>
      </c>
      <c r="B2087" t="s">
        <v>15</v>
      </c>
      <c r="C2087" t="s">
        <v>6</v>
      </c>
      <c r="D2087">
        <v>-625.51949999999999</v>
      </c>
    </row>
    <row r="2088" spans="1:5">
      <c r="A2088" t="s">
        <v>356</v>
      </c>
      <c r="B2088" t="s">
        <v>5</v>
      </c>
      <c r="C2088" t="s">
        <v>6</v>
      </c>
      <c r="D2088">
        <v>11253.56</v>
      </c>
    </row>
    <row r="2089" spans="1:5">
      <c r="A2089" t="s">
        <v>356</v>
      </c>
      <c r="B2089" t="s">
        <v>15</v>
      </c>
      <c r="C2089" t="s">
        <v>5</v>
      </c>
      <c r="D2089">
        <v>11253.56</v>
      </c>
    </row>
    <row r="2090" spans="1:5">
      <c r="A2090" t="s">
        <v>356</v>
      </c>
      <c r="B2090" t="s">
        <v>6</v>
      </c>
      <c r="C2090" t="s">
        <v>8</v>
      </c>
      <c r="D2090">
        <v>0</v>
      </c>
    </row>
    <row r="2091" spans="1:5">
      <c r="A2091" t="s">
        <v>356</v>
      </c>
      <c r="B2091" t="s">
        <v>15</v>
      </c>
      <c r="C2091" t="s">
        <v>16</v>
      </c>
      <c r="D2091">
        <v>14972.357498719</v>
      </c>
    </row>
    <row r="2092" spans="1:5">
      <c r="A2092" t="s">
        <v>356</v>
      </c>
      <c r="B2092" t="s">
        <v>8</v>
      </c>
      <c r="C2092" t="s">
        <v>15</v>
      </c>
      <c r="D2092">
        <v>6.7708960000000002E-3</v>
      </c>
      <c r="E2092" s="1"/>
    </row>
    <row r="2093" spans="1:5">
      <c r="A2093" t="s">
        <v>361</v>
      </c>
      <c r="B2093" t="s">
        <v>678</v>
      </c>
      <c r="C2093" t="s">
        <v>678</v>
      </c>
      <c r="D2093">
        <v>3865.6606000000002</v>
      </c>
    </row>
    <row r="2094" spans="1:5">
      <c r="A2094" t="s">
        <v>361</v>
      </c>
      <c r="B2094" t="s">
        <v>10</v>
      </c>
      <c r="C2094" t="s">
        <v>678</v>
      </c>
      <c r="D2094">
        <v>14098.096</v>
      </c>
    </row>
    <row r="2095" spans="1:5">
      <c r="A2095" t="s">
        <v>361</v>
      </c>
      <c r="B2095" t="s">
        <v>678</v>
      </c>
      <c r="C2095" t="s">
        <v>10</v>
      </c>
      <c r="D2095">
        <v>24253.445</v>
      </c>
    </row>
    <row r="2096" spans="1:5">
      <c r="A2096" t="s">
        <v>361</v>
      </c>
      <c r="B2096" t="s">
        <v>10</v>
      </c>
      <c r="C2096" t="s">
        <v>10</v>
      </c>
      <c r="D2096">
        <v>302054.78999999998</v>
      </c>
      <c r="E2096" s="1"/>
    </row>
    <row r="2097" spans="1:4">
      <c r="A2097" t="s">
        <v>361</v>
      </c>
      <c r="B2097" t="s">
        <v>11</v>
      </c>
      <c r="C2097" t="s">
        <v>678</v>
      </c>
      <c r="D2097">
        <v>2159.8798999999999</v>
      </c>
    </row>
    <row r="2098" spans="1:4">
      <c r="A2098" t="s">
        <v>361</v>
      </c>
      <c r="B2098" t="s">
        <v>11</v>
      </c>
      <c r="C2098" t="s">
        <v>10</v>
      </c>
      <c r="D2098">
        <v>23803.6424902</v>
      </c>
    </row>
    <row r="2099" spans="1:4">
      <c r="A2099" t="s">
        <v>361</v>
      </c>
      <c r="B2099" t="s">
        <v>678</v>
      </c>
      <c r="C2099" t="s">
        <v>6</v>
      </c>
      <c r="D2099">
        <v>5279.4009999999998</v>
      </c>
    </row>
    <row r="2100" spans="1:4">
      <c r="A2100" t="s">
        <v>361</v>
      </c>
      <c r="B2100" t="s">
        <v>10</v>
      </c>
      <c r="C2100" t="s">
        <v>6</v>
      </c>
      <c r="D2100">
        <v>264944.95</v>
      </c>
    </row>
    <row r="2101" spans="1:4">
      <c r="A2101" t="s">
        <v>361</v>
      </c>
      <c r="B2101" t="s">
        <v>11</v>
      </c>
      <c r="C2101" t="s">
        <v>6</v>
      </c>
      <c r="D2101">
        <v>59512.7399</v>
      </c>
    </row>
    <row r="2102" spans="1:4">
      <c r="A2102" t="s">
        <v>361</v>
      </c>
      <c r="B2102" t="s">
        <v>678</v>
      </c>
      <c r="C2102" t="s">
        <v>8</v>
      </c>
      <c r="D2102">
        <v>2.3487502E-2</v>
      </c>
    </row>
    <row r="2103" spans="1:4">
      <c r="A2103" t="s">
        <v>361</v>
      </c>
      <c r="B2103" t="s">
        <v>10</v>
      </c>
      <c r="C2103" t="s">
        <v>8</v>
      </c>
      <c r="D2103">
        <v>85957.283987649993</v>
      </c>
    </row>
    <row r="2104" spans="1:4">
      <c r="A2104" t="s">
        <v>361</v>
      </c>
      <c r="B2104" t="s">
        <v>11</v>
      </c>
      <c r="C2104" t="s">
        <v>8</v>
      </c>
      <c r="D2104">
        <v>0</v>
      </c>
    </row>
    <row r="2105" spans="1:4">
      <c r="A2105" t="s">
        <v>361</v>
      </c>
      <c r="B2105" t="s">
        <v>678</v>
      </c>
      <c r="C2105" t="s">
        <v>15</v>
      </c>
      <c r="D2105">
        <v>124.19289000000001</v>
      </c>
    </row>
    <row r="2106" spans="1:4">
      <c r="A2106" t="s">
        <v>361</v>
      </c>
      <c r="B2106" t="s">
        <v>10</v>
      </c>
      <c r="C2106" t="s">
        <v>15</v>
      </c>
      <c r="D2106">
        <v>109356.07</v>
      </c>
    </row>
    <row r="2107" spans="1:4">
      <c r="A2107" t="s">
        <v>361</v>
      </c>
      <c r="B2107" t="s">
        <v>11</v>
      </c>
      <c r="C2107" t="s">
        <v>15</v>
      </c>
      <c r="D2107">
        <v>0</v>
      </c>
    </row>
    <row r="2108" spans="1:4">
      <c r="A2108" t="s">
        <v>361</v>
      </c>
      <c r="B2108" t="s">
        <v>8</v>
      </c>
      <c r="C2108" t="s">
        <v>11</v>
      </c>
      <c r="D2108">
        <v>85476.2622902</v>
      </c>
    </row>
    <row r="2109" spans="1:4">
      <c r="A2109" t="s">
        <v>361</v>
      </c>
      <c r="B2109" t="s">
        <v>678</v>
      </c>
      <c r="C2109" t="s">
        <v>7</v>
      </c>
      <c r="D2109">
        <v>8.9498094960000003</v>
      </c>
    </row>
    <row r="2110" spans="1:4">
      <c r="A2110" t="s">
        <v>361</v>
      </c>
      <c r="B2110" t="s">
        <v>10</v>
      </c>
      <c r="C2110" t="s">
        <v>7</v>
      </c>
      <c r="D2110">
        <v>222.10676595999999</v>
      </c>
    </row>
    <row r="2111" spans="1:4">
      <c r="A2111" t="s">
        <v>361</v>
      </c>
      <c r="B2111" t="s">
        <v>7</v>
      </c>
      <c r="C2111" t="s">
        <v>8</v>
      </c>
      <c r="D2111">
        <v>231.05657545599999</v>
      </c>
    </row>
    <row r="2112" spans="1:4">
      <c r="A2112" t="s">
        <v>361</v>
      </c>
      <c r="B2112" t="s">
        <v>678</v>
      </c>
      <c r="C2112" t="s">
        <v>16</v>
      </c>
      <c r="D2112">
        <v>7911.3373166499996</v>
      </c>
    </row>
    <row r="2113" spans="1:5">
      <c r="A2113" t="s">
        <v>361</v>
      </c>
      <c r="B2113" t="s">
        <v>10</v>
      </c>
      <c r="C2113" t="s">
        <v>16</v>
      </c>
      <c r="D2113">
        <v>110200.38967999999</v>
      </c>
    </row>
    <row r="2114" spans="1:5">
      <c r="A2114" t="s">
        <v>361</v>
      </c>
      <c r="B2114" t="s">
        <v>678</v>
      </c>
      <c r="C2114" t="s">
        <v>17</v>
      </c>
      <c r="D2114">
        <v>0</v>
      </c>
    </row>
    <row r="2115" spans="1:5">
      <c r="A2115" t="s">
        <v>361</v>
      </c>
      <c r="B2115" t="s">
        <v>10</v>
      </c>
      <c r="C2115" t="s">
        <v>17</v>
      </c>
      <c r="D2115">
        <v>3360.7860000000001</v>
      </c>
    </row>
    <row r="2116" spans="1:5">
      <c r="A2116" t="s">
        <v>361</v>
      </c>
      <c r="B2116" t="s">
        <v>17</v>
      </c>
      <c r="C2116" t="s">
        <v>16</v>
      </c>
      <c r="D2116">
        <v>3360.7860000000001</v>
      </c>
    </row>
    <row r="2117" spans="1:5">
      <c r="A2117" t="s">
        <v>361</v>
      </c>
      <c r="B2117" t="s">
        <v>14</v>
      </c>
      <c r="C2117" t="s">
        <v>678</v>
      </c>
      <c r="D2117">
        <v>11167.95</v>
      </c>
    </row>
    <row r="2118" spans="1:5">
      <c r="A2118" t="s">
        <v>361</v>
      </c>
      <c r="B2118" t="s">
        <v>14</v>
      </c>
      <c r="C2118" t="s">
        <v>10</v>
      </c>
      <c r="D2118">
        <v>183002.4</v>
      </c>
    </row>
    <row r="2119" spans="1:5">
      <c r="A2119" t="s">
        <v>361</v>
      </c>
      <c r="B2119" t="s">
        <v>6</v>
      </c>
      <c r="C2119" t="s">
        <v>14</v>
      </c>
      <c r="D2119">
        <v>194170.35</v>
      </c>
    </row>
    <row r="2120" spans="1:5">
      <c r="A2120" t="s">
        <v>361</v>
      </c>
      <c r="B2120" t="s">
        <v>8</v>
      </c>
      <c r="C2120" t="s">
        <v>14</v>
      </c>
      <c r="D2120">
        <v>0</v>
      </c>
    </row>
    <row r="2121" spans="1:5">
      <c r="A2121" t="s">
        <v>361</v>
      </c>
      <c r="B2121" t="s">
        <v>9</v>
      </c>
      <c r="C2121" t="s">
        <v>678</v>
      </c>
      <c r="D2121">
        <v>2688.4940000000001</v>
      </c>
    </row>
    <row r="2122" spans="1:5">
      <c r="A2122" t="s">
        <v>361</v>
      </c>
      <c r="B2122" t="s">
        <v>9</v>
      </c>
      <c r="C2122" t="s">
        <v>10</v>
      </c>
      <c r="D2122">
        <v>966.42819999999995</v>
      </c>
    </row>
    <row r="2123" spans="1:5">
      <c r="A2123" t="s">
        <v>361</v>
      </c>
      <c r="B2123" t="s">
        <v>6</v>
      </c>
      <c r="C2123" t="s">
        <v>9</v>
      </c>
      <c r="D2123">
        <v>3654.9222</v>
      </c>
    </row>
    <row r="2124" spans="1:5">
      <c r="A2124" t="s">
        <v>361</v>
      </c>
      <c r="B2124" t="s">
        <v>13</v>
      </c>
      <c r="C2124" t="s">
        <v>678</v>
      </c>
      <c r="D2124">
        <v>4350.6509999999998</v>
      </c>
    </row>
    <row r="2125" spans="1:5">
      <c r="A2125" t="s">
        <v>361</v>
      </c>
      <c r="B2125" t="s">
        <v>13</v>
      </c>
      <c r="C2125" t="s">
        <v>10</v>
      </c>
      <c r="D2125">
        <v>172217.8</v>
      </c>
    </row>
    <row r="2126" spans="1:5">
      <c r="A2126" t="s">
        <v>361</v>
      </c>
      <c r="B2126" t="s">
        <v>6</v>
      </c>
      <c r="C2126" t="s">
        <v>13</v>
      </c>
      <c r="D2126">
        <v>176568.451</v>
      </c>
    </row>
    <row r="2127" spans="1:5">
      <c r="A2127" t="s">
        <v>361</v>
      </c>
      <c r="B2127" t="s">
        <v>8</v>
      </c>
      <c r="C2127" t="s">
        <v>678</v>
      </c>
      <c r="D2127">
        <v>-4535.079887723</v>
      </c>
    </row>
    <row r="2128" spans="1:5">
      <c r="A2128" t="s">
        <v>361</v>
      </c>
      <c r="B2128" t="s">
        <v>8</v>
      </c>
      <c r="C2128" t="s">
        <v>10</v>
      </c>
      <c r="D2128">
        <v>26649.036757734</v>
      </c>
      <c r="E2128" s="1"/>
    </row>
    <row r="2129" spans="1:5">
      <c r="A2129" t="s">
        <v>361</v>
      </c>
      <c r="B2129" t="s">
        <v>12</v>
      </c>
      <c r="C2129" t="s">
        <v>678</v>
      </c>
      <c r="D2129">
        <v>134.84483801900001</v>
      </c>
    </row>
    <row r="2130" spans="1:5">
      <c r="A2130" t="s">
        <v>361</v>
      </c>
      <c r="B2130" t="s">
        <v>12</v>
      </c>
      <c r="C2130" t="s">
        <v>10</v>
      </c>
      <c r="D2130">
        <v>1721.5868363100001</v>
      </c>
    </row>
    <row r="2131" spans="1:5">
      <c r="A2131" t="s">
        <v>361</v>
      </c>
      <c r="B2131" t="s">
        <v>8</v>
      </c>
      <c r="C2131" t="s">
        <v>12</v>
      </c>
      <c r="D2131">
        <v>1856.4316743290001</v>
      </c>
    </row>
    <row r="2132" spans="1:5">
      <c r="A2132" t="s">
        <v>361</v>
      </c>
      <c r="B2132" t="s">
        <v>16</v>
      </c>
      <c r="C2132" t="s">
        <v>678</v>
      </c>
      <c r="D2132">
        <v>7512.5128816719998</v>
      </c>
    </row>
    <row r="2133" spans="1:5">
      <c r="A2133" t="s">
        <v>361</v>
      </c>
      <c r="B2133" t="s">
        <v>16</v>
      </c>
      <c r="C2133" t="s">
        <v>10</v>
      </c>
      <c r="D2133">
        <v>155525.32771000001</v>
      </c>
    </row>
    <row r="2134" spans="1:5">
      <c r="A2134" t="s">
        <v>361</v>
      </c>
      <c r="B2134" t="s">
        <v>790</v>
      </c>
      <c r="C2134" t="s">
        <v>678</v>
      </c>
      <c r="D2134">
        <v>0</v>
      </c>
    </row>
    <row r="2135" spans="1:5">
      <c r="A2135" t="s">
        <v>361</v>
      </c>
      <c r="B2135" t="s">
        <v>790</v>
      </c>
      <c r="C2135" t="s">
        <v>10</v>
      </c>
      <c r="D2135">
        <v>0</v>
      </c>
    </row>
    <row r="2136" spans="1:5">
      <c r="A2136" t="s">
        <v>361</v>
      </c>
      <c r="B2136" t="s">
        <v>8</v>
      </c>
      <c r="C2136" t="s">
        <v>790</v>
      </c>
      <c r="D2136">
        <v>0</v>
      </c>
    </row>
    <row r="2137" spans="1:5">
      <c r="A2137" t="s">
        <v>361</v>
      </c>
      <c r="B2137" t="s">
        <v>8</v>
      </c>
      <c r="C2137" t="s">
        <v>6</v>
      </c>
      <c r="D2137">
        <v>-23258.334699999999</v>
      </c>
    </row>
    <row r="2138" spans="1:5">
      <c r="A2138" t="s">
        <v>361</v>
      </c>
      <c r="B2138" t="s">
        <v>15</v>
      </c>
      <c r="C2138" t="s">
        <v>6</v>
      </c>
      <c r="D2138">
        <v>8149.4669999999996</v>
      </c>
    </row>
    <row r="2139" spans="1:5">
      <c r="A2139" t="s">
        <v>361</v>
      </c>
      <c r="B2139" t="s">
        <v>5</v>
      </c>
      <c r="C2139" t="s">
        <v>6</v>
      </c>
      <c r="D2139">
        <v>59765.5</v>
      </c>
    </row>
    <row r="2140" spans="1:5">
      <c r="A2140" t="s">
        <v>361</v>
      </c>
      <c r="B2140" t="s">
        <v>15</v>
      </c>
      <c r="C2140" t="s">
        <v>5</v>
      </c>
      <c r="D2140">
        <v>59765.5</v>
      </c>
    </row>
    <row r="2141" spans="1:5">
      <c r="A2141" t="s">
        <v>361</v>
      </c>
      <c r="B2141" t="s">
        <v>6</v>
      </c>
      <c r="C2141" t="s">
        <v>8</v>
      </c>
      <c r="D2141">
        <v>0</v>
      </c>
    </row>
    <row r="2142" spans="1:5">
      <c r="A2142" t="s">
        <v>361</v>
      </c>
      <c r="B2142" t="s">
        <v>15</v>
      </c>
      <c r="C2142" t="s">
        <v>16</v>
      </c>
      <c r="D2142">
        <v>41565.327591544003</v>
      </c>
    </row>
    <row r="2143" spans="1:5">
      <c r="A2143" t="s">
        <v>361</v>
      </c>
      <c r="B2143" t="s">
        <v>8</v>
      </c>
      <c r="C2143" t="s">
        <v>15</v>
      </c>
      <c r="D2143">
        <v>4.7916068999999999E-2</v>
      </c>
      <c r="E2143" s="1"/>
    </row>
    <row r="2144" spans="1:5">
      <c r="A2144" t="s">
        <v>41</v>
      </c>
      <c r="B2144" t="s">
        <v>678</v>
      </c>
      <c r="C2144" t="s">
        <v>678</v>
      </c>
      <c r="D2144">
        <v>213.89424</v>
      </c>
    </row>
    <row r="2145" spans="1:4">
      <c r="A2145" t="s">
        <v>41</v>
      </c>
      <c r="B2145" t="s">
        <v>10</v>
      </c>
      <c r="C2145" t="s">
        <v>678</v>
      </c>
      <c r="D2145">
        <v>3913.4609999999998</v>
      </c>
    </row>
    <row r="2146" spans="1:4">
      <c r="A2146" t="s">
        <v>41</v>
      </c>
      <c r="B2146" t="s">
        <v>678</v>
      </c>
      <c r="C2146" t="s">
        <v>10</v>
      </c>
      <c r="D2146">
        <v>8562.1576999999997</v>
      </c>
    </row>
    <row r="2147" spans="1:4">
      <c r="A2147" t="s">
        <v>41</v>
      </c>
      <c r="B2147" t="s">
        <v>10</v>
      </c>
      <c r="C2147" t="s">
        <v>10</v>
      </c>
      <c r="D2147">
        <v>177476.02</v>
      </c>
    </row>
    <row r="2148" spans="1:4">
      <c r="A2148" t="s">
        <v>41</v>
      </c>
      <c r="B2148" t="s">
        <v>11</v>
      </c>
      <c r="C2148" t="s">
        <v>678</v>
      </c>
      <c r="D2148">
        <v>1927.9463000000001</v>
      </c>
    </row>
    <row r="2149" spans="1:4">
      <c r="A2149" t="s">
        <v>41</v>
      </c>
      <c r="B2149" t="s">
        <v>11</v>
      </c>
      <c r="C2149" t="s">
        <v>10</v>
      </c>
      <c r="D2149">
        <v>39543.322718000003</v>
      </c>
    </row>
    <row r="2150" spans="1:4">
      <c r="A2150" t="s">
        <v>41</v>
      </c>
      <c r="B2150" t="s">
        <v>678</v>
      </c>
      <c r="C2150" t="s">
        <v>6</v>
      </c>
      <c r="D2150">
        <v>1882.1133</v>
      </c>
    </row>
    <row r="2151" spans="1:4">
      <c r="A2151" t="s">
        <v>41</v>
      </c>
      <c r="B2151" t="s">
        <v>10</v>
      </c>
      <c r="C2151" t="s">
        <v>6</v>
      </c>
      <c r="D2151">
        <v>75582.069000000003</v>
      </c>
    </row>
    <row r="2152" spans="1:4">
      <c r="A2152" t="s">
        <v>41</v>
      </c>
      <c r="B2152" t="s">
        <v>11</v>
      </c>
      <c r="C2152" t="s">
        <v>6</v>
      </c>
      <c r="D2152">
        <v>43492.64417</v>
      </c>
    </row>
    <row r="2153" spans="1:4">
      <c r="A2153" t="s">
        <v>41</v>
      </c>
      <c r="B2153" t="s">
        <v>678</v>
      </c>
      <c r="C2153" t="s">
        <v>8</v>
      </c>
      <c r="D2153">
        <v>1.9406409999999999E-2</v>
      </c>
    </row>
    <row r="2154" spans="1:4">
      <c r="A2154" t="s">
        <v>41</v>
      </c>
      <c r="B2154" t="s">
        <v>10</v>
      </c>
      <c r="C2154" t="s">
        <v>8</v>
      </c>
      <c r="D2154">
        <v>58885.967499999999</v>
      </c>
    </row>
    <row r="2155" spans="1:4">
      <c r="A2155" t="s">
        <v>41</v>
      </c>
      <c r="B2155" t="s">
        <v>11</v>
      </c>
      <c r="C2155" t="s">
        <v>8</v>
      </c>
      <c r="D2155">
        <v>0</v>
      </c>
    </row>
    <row r="2156" spans="1:4">
      <c r="A2156" t="s">
        <v>41</v>
      </c>
      <c r="B2156" t="s">
        <v>678</v>
      </c>
      <c r="C2156" t="s">
        <v>15</v>
      </c>
      <c r="D2156">
        <v>190.56303108</v>
      </c>
    </row>
    <row r="2157" spans="1:4">
      <c r="A2157" t="s">
        <v>41</v>
      </c>
      <c r="B2157" t="s">
        <v>10</v>
      </c>
      <c r="C2157" t="s">
        <v>15</v>
      </c>
      <c r="D2157">
        <v>28751.508999999998</v>
      </c>
    </row>
    <row r="2158" spans="1:4">
      <c r="A2158" t="s">
        <v>41</v>
      </c>
      <c r="B2158" t="s">
        <v>11</v>
      </c>
      <c r="C2158" t="s">
        <v>15</v>
      </c>
      <c r="D2158">
        <v>2237.5312399999998</v>
      </c>
    </row>
    <row r="2159" spans="1:4">
      <c r="A2159" t="s">
        <v>41</v>
      </c>
      <c r="B2159" t="s">
        <v>8</v>
      </c>
      <c r="C2159" t="s">
        <v>11</v>
      </c>
      <c r="D2159">
        <v>87201.444428000003</v>
      </c>
    </row>
    <row r="2160" spans="1:4">
      <c r="A2160" t="s">
        <v>41</v>
      </c>
      <c r="B2160" t="s">
        <v>678</v>
      </c>
      <c r="C2160" t="s">
        <v>7</v>
      </c>
      <c r="D2160">
        <v>10.142969713999999</v>
      </c>
    </row>
    <row r="2161" spans="1:4">
      <c r="A2161" t="s">
        <v>41</v>
      </c>
      <c r="B2161" t="s">
        <v>10</v>
      </c>
      <c r="C2161" t="s">
        <v>7</v>
      </c>
      <c r="D2161">
        <v>146.13096359299999</v>
      </c>
    </row>
    <row r="2162" spans="1:4">
      <c r="A2162" t="s">
        <v>41</v>
      </c>
      <c r="B2162" t="s">
        <v>7</v>
      </c>
      <c r="C2162" t="s">
        <v>8</v>
      </c>
      <c r="D2162">
        <v>156.27393330699999</v>
      </c>
    </row>
    <row r="2163" spans="1:4">
      <c r="A2163" t="s">
        <v>41</v>
      </c>
      <c r="B2163" t="s">
        <v>678</v>
      </c>
      <c r="C2163" t="s">
        <v>16</v>
      </c>
      <c r="D2163">
        <v>897.55242067999995</v>
      </c>
    </row>
    <row r="2164" spans="1:4">
      <c r="A2164" t="s">
        <v>41</v>
      </c>
      <c r="B2164" t="s">
        <v>10</v>
      </c>
      <c r="C2164" t="s">
        <v>16</v>
      </c>
      <c r="D2164">
        <v>96212.648039961001</v>
      </c>
    </row>
    <row r="2165" spans="1:4">
      <c r="A2165" t="s">
        <v>41</v>
      </c>
      <c r="B2165" t="s">
        <v>678</v>
      </c>
      <c r="C2165" t="s">
        <v>17</v>
      </c>
      <c r="D2165">
        <v>0</v>
      </c>
    </row>
    <row r="2166" spans="1:4">
      <c r="A2166" t="s">
        <v>41</v>
      </c>
      <c r="B2166" t="s">
        <v>10</v>
      </c>
      <c r="C2166" t="s">
        <v>17</v>
      </c>
      <c r="D2166">
        <v>4352.8829999999998</v>
      </c>
    </row>
    <row r="2167" spans="1:4">
      <c r="A2167" t="s">
        <v>41</v>
      </c>
      <c r="B2167" t="s">
        <v>17</v>
      </c>
      <c r="C2167" t="s">
        <v>16</v>
      </c>
      <c r="D2167">
        <v>4352.8829999999998</v>
      </c>
    </row>
    <row r="2168" spans="1:4">
      <c r="A2168" t="s">
        <v>41</v>
      </c>
      <c r="B2168" t="s">
        <v>14</v>
      </c>
      <c r="C2168" t="s">
        <v>678</v>
      </c>
      <c r="D2168">
        <v>1565.19</v>
      </c>
    </row>
    <row r="2169" spans="1:4">
      <c r="A2169" t="s">
        <v>41</v>
      </c>
      <c r="B2169" t="s">
        <v>14</v>
      </c>
      <c r="C2169" t="s">
        <v>10</v>
      </c>
      <c r="D2169">
        <v>100924.3</v>
      </c>
    </row>
    <row r="2170" spans="1:4">
      <c r="A2170" t="s">
        <v>41</v>
      </c>
      <c r="B2170" t="s">
        <v>6</v>
      </c>
      <c r="C2170" t="s">
        <v>14</v>
      </c>
      <c r="D2170">
        <v>102489.49</v>
      </c>
    </row>
    <row r="2171" spans="1:4">
      <c r="A2171" t="s">
        <v>41</v>
      </c>
      <c r="B2171" t="s">
        <v>8</v>
      </c>
      <c r="C2171" t="s">
        <v>14</v>
      </c>
      <c r="D2171">
        <v>0</v>
      </c>
    </row>
    <row r="2172" spans="1:4">
      <c r="A2172" t="s">
        <v>41</v>
      </c>
      <c r="B2172" t="s">
        <v>9</v>
      </c>
      <c r="C2172" t="s">
        <v>678</v>
      </c>
      <c r="D2172">
        <v>489.91660000000002</v>
      </c>
    </row>
    <row r="2173" spans="1:4">
      <c r="A2173" t="s">
        <v>41</v>
      </c>
      <c r="B2173" t="s">
        <v>9</v>
      </c>
      <c r="C2173" t="s">
        <v>10</v>
      </c>
      <c r="D2173">
        <v>107.52460000000001</v>
      </c>
    </row>
    <row r="2174" spans="1:4">
      <c r="A2174" t="s">
        <v>41</v>
      </c>
      <c r="B2174" t="s">
        <v>6</v>
      </c>
      <c r="C2174" t="s">
        <v>9</v>
      </c>
      <c r="D2174">
        <v>597.44119999999998</v>
      </c>
    </row>
    <row r="2175" spans="1:4">
      <c r="A2175" t="s">
        <v>41</v>
      </c>
      <c r="B2175" t="s">
        <v>13</v>
      </c>
      <c r="C2175" t="s">
        <v>678</v>
      </c>
      <c r="D2175">
        <v>1850.0350000000001</v>
      </c>
    </row>
    <row r="2176" spans="1:4">
      <c r="A2176" t="s">
        <v>41</v>
      </c>
      <c r="B2176" t="s">
        <v>13</v>
      </c>
      <c r="C2176" t="s">
        <v>10</v>
      </c>
      <c r="D2176">
        <v>42250.44</v>
      </c>
    </row>
    <row r="2177" spans="1:4">
      <c r="A2177" t="s">
        <v>41</v>
      </c>
      <c r="B2177" t="s">
        <v>6</v>
      </c>
      <c r="C2177" t="s">
        <v>13</v>
      </c>
      <c r="D2177">
        <v>44100.474999999999</v>
      </c>
    </row>
    <row r="2178" spans="1:4">
      <c r="A2178" t="s">
        <v>41</v>
      </c>
      <c r="B2178" t="s">
        <v>8</v>
      </c>
      <c r="C2178" t="s">
        <v>678</v>
      </c>
      <c r="D2178">
        <v>-435.09415039599997</v>
      </c>
    </row>
    <row r="2179" spans="1:4">
      <c r="A2179" t="s">
        <v>41</v>
      </c>
      <c r="B2179" t="s">
        <v>8</v>
      </c>
      <c r="C2179" t="s">
        <v>10</v>
      </c>
      <c r="D2179">
        <v>2286.0689855539999</v>
      </c>
    </row>
    <row r="2180" spans="1:4">
      <c r="A2180" t="s">
        <v>41</v>
      </c>
      <c r="B2180" t="s">
        <v>12</v>
      </c>
      <c r="C2180" t="s">
        <v>678</v>
      </c>
      <c r="D2180">
        <v>31.591406931000002</v>
      </c>
    </row>
    <row r="2181" spans="1:4">
      <c r="A2181" t="s">
        <v>41</v>
      </c>
      <c r="B2181" t="s">
        <v>12</v>
      </c>
      <c r="C2181" t="s">
        <v>10</v>
      </c>
      <c r="D2181">
        <v>560.996956393</v>
      </c>
    </row>
    <row r="2182" spans="1:4">
      <c r="A2182" t="s">
        <v>41</v>
      </c>
      <c r="B2182" t="s">
        <v>8</v>
      </c>
      <c r="C2182" t="s">
        <v>12</v>
      </c>
      <c r="D2182">
        <v>592.58836332400006</v>
      </c>
    </row>
    <row r="2183" spans="1:4">
      <c r="A2183" t="s">
        <v>41</v>
      </c>
      <c r="B2183" t="s">
        <v>16</v>
      </c>
      <c r="C2183" t="s">
        <v>678</v>
      </c>
      <c r="D2183">
        <v>2199.5022383249998</v>
      </c>
    </row>
    <row r="2184" spans="1:4">
      <c r="A2184" t="s">
        <v>41</v>
      </c>
      <c r="B2184" t="s">
        <v>16</v>
      </c>
      <c r="C2184" t="s">
        <v>10</v>
      </c>
      <c r="D2184">
        <v>73609.855779168007</v>
      </c>
    </row>
    <row r="2185" spans="1:4">
      <c r="A2185" t="s">
        <v>41</v>
      </c>
      <c r="B2185" t="s">
        <v>790</v>
      </c>
      <c r="C2185" t="s">
        <v>678</v>
      </c>
      <c r="D2185">
        <v>0</v>
      </c>
    </row>
    <row r="2186" spans="1:4">
      <c r="A2186" t="s">
        <v>41</v>
      </c>
      <c r="B2186" t="s">
        <v>790</v>
      </c>
      <c r="C2186" t="s">
        <v>10</v>
      </c>
      <c r="D2186">
        <v>0</v>
      </c>
    </row>
    <row r="2187" spans="1:4">
      <c r="A2187" t="s">
        <v>41</v>
      </c>
      <c r="B2187" t="s">
        <v>8</v>
      </c>
      <c r="C2187" t="s">
        <v>790</v>
      </c>
      <c r="D2187">
        <v>0</v>
      </c>
    </row>
    <row r="2188" spans="1:4">
      <c r="A2188" t="s">
        <v>41</v>
      </c>
      <c r="B2188" t="s">
        <v>8</v>
      </c>
      <c r="C2188" t="s">
        <v>6</v>
      </c>
      <c r="D2188">
        <v>-30602.73027</v>
      </c>
    </row>
    <row r="2189" spans="1:4">
      <c r="A2189" t="s">
        <v>41</v>
      </c>
      <c r="B2189" t="s">
        <v>15</v>
      </c>
      <c r="C2189" t="s">
        <v>6</v>
      </c>
      <c r="D2189">
        <v>31794.03</v>
      </c>
    </row>
    <row r="2190" spans="1:4">
      <c r="A2190" t="s">
        <v>41</v>
      </c>
      <c r="B2190" t="s">
        <v>5</v>
      </c>
      <c r="C2190" t="s">
        <v>6</v>
      </c>
      <c r="D2190">
        <v>25039.279999999999</v>
      </c>
    </row>
    <row r="2191" spans="1:4">
      <c r="A2191" t="s">
        <v>41</v>
      </c>
      <c r="B2191" t="s">
        <v>15</v>
      </c>
      <c r="C2191" t="s">
        <v>5</v>
      </c>
      <c r="D2191">
        <v>25039.279999999999</v>
      </c>
    </row>
    <row r="2192" spans="1:4">
      <c r="A2192" t="s">
        <v>41</v>
      </c>
      <c r="B2192" t="s">
        <v>6</v>
      </c>
      <c r="C2192" t="s">
        <v>8</v>
      </c>
      <c r="D2192">
        <v>0</v>
      </c>
    </row>
    <row r="2193" spans="1:5">
      <c r="A2193" t="s">
        <v>41</v>
      </c>
      <c r="B2193" t="s">
        <v>16</v>
      </c>
      <c r="C2193" t="s">
        <v>15</v>
      </c>
      <c r="D2193">
        <v>25653.725443148</v>
      </c>
    </row>
    <row r="2194" spans="1:5">
      <c r="A2194" t="s">
        <v>41</v>
      </c>
      <c r="B2194" t="s">
        <v>15</v>
      </c>
      <c r="C2194" t="s">
        <v>8</v>
      </c>
      <c r="D2194">
        <v>1.6516764E-2</v>
      </c>
    </row>
    <row r="2195" spans="1:5">
      <c r="A2195" t="s">
        <v>795</v>
      </c>
      <c r="B2195" t="s">
        <v>678</v>
      </c>
      <c r="C2195" t="s">
        <v>678</v>
      </c>
      <c r="D2195">
        <v>1038.2186999999999</v>
      </c>
    </row>
    <row r="2196" spans="1:5">
      <c r="A2196" t="s">
        <v>795</v>
      </c>
      <c r="B2196" t="s">
        <v>10</v>
      </c>
      <c r="C2196" t="s">
        <v>678</v>
      </c>
      <c r="D2196">
        <v>6641.8320000000003</v>
      </c>
    </row>
    <row r="2197" spans="1:5">
      <c r="A2197" t="s">
        <v>795</v>
      </c>
      <c r="B2197" t="s">
        <v>678</v>
      </c>
      <c r="C2197" t="s">
        <v>10</v>
      </c>
      <c r="D2197">
        <v>9631.0300000000007</v>
      </c>
    </row>
    <row r="2198" spans="1:5">
      <c r="A2198" t="s">
        <v>795</v>
      </c>
      <c r="B2198" t="s">
        <v>10</v>
      </c>
      <c r="C2198" t="s">
        <v>10</v>
      </c>
      <c r="D2198">
        <v>215069.7</v>
      </c>
      <c r="E2198" s="1"/>
    </row>
    <row r="2199" spans="1:5">
      <c r="A2199" t="s">
        <v>795</v>
      </c>
      <c r="B2199" t="s">
        <v>11</v>
      </c>
      <c r="C2199" t="s">
        <v>678</v>
      </c>
      <c r="D2199">
        <v>0</v>
      </c>
    </row>
    <row r="2200" spans="1:5">
      <c r="A2200" t="s">
        <v>795</v>
      </c>
      <c r="B2200" t="s">
        <v>11</v>
      </c>
      <c r="C2200" t="s">
        <v>10</v>
      </c>
      <c r="D2200">
        <v>0</v>
      </c>
    </row>
    <row r="2201" spans="1:5">
      <c r="A2201" t="s">
        <v>795</v>
      </c>
      <c r="B2201" t="s">
        <v>678</v>
      </c>
      <c r="C2201" t="s">
        <v>6</v>
      </c>
      <c r="D2201">
        <v>3842.68</v>
      </c>
    </row>
    <row r="2202" spans="1:5">
      <c r="A2202" t="s">
        <v>795</v>
      </c>
      <c r="B2202" t="s">
        <v>10</v>
      </c>
      <c r="C2202" t="s">
        <v>6</v>
      </c>
      <c r="D2202">
        <v>156796.68</v>
      </c>
    </row>
    <row r="2203" spans="1:5">
      <c r="A2203" t="s">
        <v>795</v>
      </c>
      <c r="B2203" t="s">
        <v>11</v>
      </c>
      <c r="C2203" t="s">
        <v>6</v>
      </c>
      <c r="D2203">
        <v>0</v>
      </c>
    </row>
    <row r="2204" spans="1:5">
      <c r="A2204" t="s">
        <v>795</v>
      </c>
      <c r="B2204" t="s">
        <v>678</v>
      </c>
      <c r="C2204" t="s">
        <v>8</v>
      </c>
      <c r="D2204">
        <v>8.6050740000000008E-3</v>
      </c>
    </row>
    <row r="2205" spans="1:5">
      <c r="A2205" t="s">
        <v>795</v>
      </c>
      <c r="B2205" t="s">
        <v>10</v>
      </c>
      <c r="C2205" t="s">
        <v>8</v>
      </c>
      <c r="D2205">
        <v>36560.561390000003</v>
      </c>
    </row>
    <row r="2206" spans="1:5">
      <c r="A2206" t="s">
        <v>795</v>
      </c>
      <c r="B2206" t="s">
        <v>11</v>
      </c>
      <c r="C2206" t="s">
        <v>8</v>
      </c>
      <c r="D2206">
        <v>0</v>
      </c>
    </row>
    <row r="2207" spans="1:5">
      <c r="A2207" t="s">
        <v>795</v>
      </c>
      <c r="B2207" t="s">
        <v>678</v>
      </c>
      <c r="C2207" t="s">
        <v>15</v>
      </c>
      <c r="D2207">
        <v>78.937266602999998</v>
      </c>
    </row>
    <row r="2208" spans="1:5">
      <c r="A2208" t="s">
        <v>795</v>
      </c>
      <c r="B2208" t="s">
        <v>10</v>
      </c>
      <c r="C2208" t="s">
        <v>15</v>
      </c>
      <c r="D2208">
        <v>46693.56</v>
      </c>
    </row>
    <row r="2209" spans="1:4">
      <c r="A2209" t="s">
        <v>795</v>
      </c>
      <c r="B2209" t="s">
        <v>11</v>
      </c>
      <c r="C2209" t="s">
        <v>15</v>
      </c>
      <c r="D2209">
        <v>0</v>
      </c>
    </row>
    <row r="2210" spans="1:4">
      <c r="A2210" t="s">
        <v>795</v>
      </c>
      <c r="B2210" t="s">
        <v>8</v>
      </c>
      <c r="C2210" t="s">
        <v>11</v>
      </c>
      <c r="D2210">
        <v>0</v>
      </c>
    </row>
    <row r="2211" spans="1:4">
      <c r="A2211" t="s">
        <v>795</v>
      </c>
      <c r="B2211" t="s">
        <v>678</v>
      </c>
      <c r="C2211" t="s">
        <v>7</v>
      </c>
      <c r="D2211">
        <v>14.037018836</v>
      </c>
    </row>
    <row r="2212" spans="1:4">
      <c r="A2212" t="s">
        <v>795</v>
      </c>
      <c r="B2212" t="s">
        <v>10</v>
      </c>
      <c r="C2212" t="s">
        <v>7</v>
      </c>
      <c r="D2212">
        <v>535.224419356</v>
      </c>
    </row>
    <row r="2213" spans="1:4">
      <c r="A2213" t="s">
        <v>795</v>
      </c>
      <c r="B2213" t="s">
        <v>7</v>
      </c>
      <c r="C2213" t="s">
        <v>8</v>
      </c>
      <c r="D2213">
        <v>549.26143819200001</v>
      </c>
    </row>
    <row r="2214" spans="1:4">
      <c r="A2214" t="s">
        <v>795</v>
      </c>
      <c r="B2214" t="s">
        <v>678</v>
      </c>
      <c r="C2214" t="s">
        <v>16</v>
      </c>
      <c r="D2214">
        <v>3144.5825389299998</v>
      </c>
    </row>
    <row r="2215" spans="1:4">
      <c r="A2215" t="s">
        <v>795</v>
      </c>
      <c r="B2215" t="s">
        <v>10</v>
      </c>
      <c r="C2215" t="s">
        <v>16</v>
      </c>
      <c r="D2215">
        <v>164362.51027</v>
      </c>
    </row>
    <row r="2216" spans="1:4">
      <c r="A2216" t="s">
        <v>795</v>
      </c>
      <c r="B2216" t="s">
        <v>678</v>
      </c>
      <c r="C2216" t="s">
        <v>17</v>
      </c>
      <c r="D2216">
        <v>0</v>
      </c>
    </row>
    <row r="2217" spans="1:4">
      <c r="A2217" t="s">
        <v>795</v>
      </c>
      <c r="B2217" t="s">
        <v>10</v>
      </c>
      <c r="C2217" t="s">
        <v>17</v>
      </c>
      <c r="D2217">
        <v>8508.5239999999994</v>
      </c>
    </row>
    <row r="2218" spans="1:4">
      <c r="A2218" t="s">
        <v>795</v>
      </c>
      <c r="B2218" t="s">
        <v>17</v>
      </c>
      <c r="C2218" t="s">
        <v>16</v>
      </c>
      <c r="D2218">
        <v>8508.5239999999994</v>
      </c>
    </row>
    <row r="2219" spans="1:4">
      <c r="A2219" t="s">
        <v>795</v>
      </c>
      <c r="B2219" t="s">
        <v>14</v>
      </c>
      <c r="C2219" t="s">
        <v>678</v>
      </c>
      <c r="D2219">
        <v>3068.8789999999999</v>
      </c>
    </row>
    <row r="2220" spans="1:4">
      <c r="A2220" t="s">
        <v>795</v>
      </c>
      <c r="B2220" t="s">
        <v>14</v>
      </c>
      <c r="C2220" t="s">
        <v>10</v>
      </c>
      <c r="D2220">
        <v>145388.5</v>
      </c>
    </row>
    <row r="2221" spans="1:4">
      <c r="A2221" t="s">
        <v>795</v>
      </c>
      <c r="B2221" t="s">
        <v>6</v>
      </c>
      <c r="C2221" t="s">
        <v>14</v>
      </c>
      <c r="D2221">
        <v>148457.37899999999</v>
      </c>
    </row>
    <row r="2222" spans="1:4">
      <c r="A2222" t="s">
        <v>795</v>
      </c>
      <c r="B2222" t="s">
        <v>8</v>
      </c>
      <c r="C2222" t="s">
        <v>14</v>
      </c>
      <c r="D2222">
        <v>0</v>
      </c>
    </row>
    <row r="2223" spans="1:4">
      <c r="A2223" t="s">
        <v>795</v>
      </c>
      <c r="B2223" t="s">
        <v>9</v>
      </c>
      <c r="C2223" t="s">
        <v>678</v>
      </c>
      <c r="D2223">
        <v>550.77871000000005</v>
      </c>
    </row>
    <row r="2224" spans="1:4">
      <c r="A2224" t="s">
        <v>795</v>
      </c>
      <c r="B2224" t="s">
        <v>9</v>
      </c>
      <c r="C2224" t="s">
        <v>10</v>
      </c>
      <c r="D2224">
        <v>731.99350000000004</v>
      </c>
    </row>
    <row r="2225" spans="1:5">
      <c r="A2225" t="s">
        <v>795</v>
      </c>
      <c r="B2225" t="s">
        <v>6</v>
      </c>
      <c r="C2225" t="s">
        <v>9</v>
      </c>
      <c r="D2225">
        <v>1282.7722100000001</v>
      </c>
    </row>
    <row r="2226" spans="1:5">
      <c r="A2226" t="s">
        <v>795</v>
      </c>
      <c r="B2226" t="s">
        <v>13</v>
      </c>
      <c r="C2226" t="s">
        <v>678</v>
      </c>
      <c r="D2226">
        <v>1080.048</v>
      </c>
    </row>
    <row r="2227" spans="1:5">
      <c r="A2227" t="s">
        <v>795</v>
      </c>
      <c r="B2227" t="s">
        <v>13</v>
      </c>
      <c r="C2227" t="s">
        <v>10</v>
      </c>
      <c r="D2227">
        <v>89289.97</v>
      </c>
    </row>
    <row r="2228" spans="1:5">
      <c r="A2228" t="s">
        <v>795</v>
      </c>
      <c r="B2228" t="s">
        <v>6</v>
      </c>
      <c r="C2228" t="s">
        <v>13</v>
      </c>
      <c r="D2228">
        <v>90370.017999999996</v>
      </c>
    </row>
    <row r="2229" spans="1:5">
      <c r="A2229" t="s">
        <v>795</v>
      </c>
      <c r="B2229" t="s">
        <v>8</v>
      </c>
      <c r="C2229" t="s">
        <v>678</v>
      </c>
      <c r="D2229">
        <v>-1402.1225906770001</v>
      </c>
    </row>
    <row r="2230" spans="1:5">
      <c r="A2230" t="s">
        <v>795</v>
      </c>
      <c r="B2230" t="s">
        <v>8</v>
      </c>
      <c r="C2230" t="s">
        <v>10</v>
      </c>
      <c r="D2230">
        <v>-1221.9378087959999</v>
      </c>
      <c r="E2230" s="1"/>
    </row>
    <row r="2231" spans="1:5">
      <c r="A2231" t="s">
        <v>795</v>
      </c>
      <c r="B2231" t="s">
        <v>12</v>
      </c>
      <c r="C2231" t="s">
        <v>678</v>
      </c>
      <c r="D2231">
        <v>121.36896063099999</v>
      </c>
    </row>
    <row r="2232" spans="1:5">
      <c r="A2232" t="s">
        <v>795</v>
      </c>
      <c r="B2232" t="s">
        <v>12</v>
      </c>
      <c r="C2232" t="s">
        <v>10</v>
      </c>
      <c r="D2232">
        <v>1628.5859179900001</v>
      </c>
    </row>
    <row r="2233" spans="1:5">
      <c r="A2233" t="s">
        <v>795</v>
      </c>
      <c r="B2233" t="s">
        <v>8</v>
      </c>
      <c r="C2233" t="s">
        <v>12</v>
      </c>
      <c r="D2233">
        <v>1749.954878621</v>
      </c>
    </row>
    <row r="2234" spans="1:5">
      <c r="A2234" t="s">
        <v>795</v>
      </c>
      <c r="B2234" t="s">
        <v>16</v>
      </c>
      <c r="C2234" t="s">
        <v>678</v>
      </c>
      <c r="D2234">
        <v>6650.4915945639996</v>
      </c>
    </row>
    <row r="2235" spans="1:5">
      <c r="A2235" t="s">
        <v>795</v>
      </c>
      <c r="B2235" t="s">
        <v>16</v>
      </c>
      <c r="C2235" t="s">
        <v>10</v>
      </c>
      <c r="D2235">
        <v>174650.70715999999</v>
      </c>
    </row>
    <row r="2236" spans="1:5">
      <c r="A2236" t="s">
        <v>795</v>
      </c>
      <c r="B2236" t="s">
        <v>790</v>
      </c>
      <c r="C2236" t="s">
        <v>678</v>
      </c>
      <c r="D2236">
        <v>0</v>
      </c>
    </row>
    <row r="2237" spans="1:5">
      <c r="A2237" t="s">
        <v>795</v>
      </c>
      <c r="B2237" t="s">
        <v>790</v>
      </c>
      <c r="C2237" t="s">
        <v>10</v>
      </c>
      <c r="D2237">
        <v>0</v>
      </c>
    </row>
    <row r="2238" spans="1:5">
      <c r="A2238" t="s">
        <v>795</v>
      </c>
      <c r="B2238" t="s">
        <v>8</v>
      </c>
      <c r="C2238" t="s">
        <v>790</v>
      </c>
      <c r="D2238">
        <v>0</v>
      </c>
    </row>
    <row r="2239" spans="1:5">
      <c r="A2239" t="s">
        <v>795</v>
      </c>
      <c r="B2239" t="s">
        <v>8</v>
      </c>
      <c r="C2239" t="s">
        <v>6</v>
      </c>
      <c r="D2239">
        <v>37983.889210000001</v>
      </c>
      <c r="E2239" s="1"/>
    </row>
    <row r="2240" spans="1:5">
      <c r="A2240" t="s">
        <v>795</v>
      </c>
      <c r="B2240" t="s">
        <v>15</v>
      </c>
      <c r="C2240" t="s">
        <v>6</v>
      </c>
      <c r="D2240">
        <v>13775</v>
      </c>
    </row>
    <row r="2241" spans="1:5">
      <c r="A2241" t="s">
        <v>795</v>
      </c>
      <c r="B2241" t="s">
        <v>5</v>
      </c>
      <c r="C2241" t="s">
        <v>6</v>
      </c>
      <c r="D2241">
        <v>27711.919999999998</v>
      </c>
    </row>
    <row r="2242" spans="1:5">
      <c r="A2242" t="s">
        <v>795</v>
      </c>
      <c r="B2242" t="s">
        <v>15</v>
      </c>
      <c r="C2242" t="s">
        <v>5</v>
      </c>
      <c r="D2242">
        <v>27711.919999999998</v>
      </c>
    </row>
    <row r="2243" spans="1:5">
      <c r="A2243" t="s">
        <v>795</v>
      </c>
      <c r="B2243" t="s">
        <v>6</v>
      </c>
      <c r="C2243" t="s">
        <v>8</v>
      </c>
      <c r="D2243">
        <v>0</v>
      </c>
    </row>
    <row r="2244" spans="1:5">
      <c r="A2244" t="s">
        <v>795</v>
      </c>
      <c r="B2244" t="s">
        <v>15</v>
      </c>
      <c r="C2244" t="s">
        <v>16</v>
      </c>
      <c r="D2244">
        <v>5285.5819414429998</v>
      </c>
    </row>
    <row r="2245" spans="1:5">
      <c r="A2245" t="s">
        <v>795</v>
      </c>
      <c r="B2245" t="s">
        <v>8</v>
      </c>
      <c r="C2245" t="s">
        <v>15</v>
      </c>
      <c r="D2245">
        <v>4.7744118000000002E-2</v>
      </c>
      <c r="E2245" s="1"/>
    </row>
    <row r="2246" spans="1:5">
      <c r="A2246" t="s">
        <v>373</v>
      </c>
      <c r="B2246" t="s">
        <v>678</v>
      </c>
      <c r="C2246" t="s">
        <v>678</v>
      </c>
      <c r="D2246">
        <v>1188.9690000000001</v>
      </c>
    </row>
    <row r="2247" spans="1:5">
      <c r="A2247" t="s">
        <v>373</v>
      </c>
      <c r="B2247" t="s">
        <v>10</v>
      </c>
      <c r="C2247" t="s">
        <v>678</v>
      </c>
      <c r="D2247">
        <v>3620.7777000000001</v>
      </c>
    </row>
    <row r="2248" spans="1:5">
      <c r="A2248" t="s">
        <v>373</v>
      </c>
      <c r="B2248" t="s">
        <v>678</v>
      </c>
      <c r="C2248" t="s">
        <v>10</v>
      </c>
      <c r="D2248">
        <v>7022.99</v>
      </c>
    </row>
    <row r="2249" spans="1:5">
      <c r="A2249" t="s">
        <v>373</v>
      </c>
      <c r="B2249" t="s">
        <v>10</v>
      </c>
      <c r="C2249" t="s">
        <v>10</v>
      </c>
      <c r="D2249">
        <v>195008.09</v>
      </c>
      <c r="E2249" s="1"/>
    </row>
    <row r="2250" spans="1:5">
      <c r="A2250" t="s">
        <v>373</v>
      </c>
      <c r="B2250" t="s">
        <v>11</v>
      </c>
      <c r="C2250" t="s">
        <v>678</v>
      </c>
      <c r="D2250">
        <v>-82.008402500000003</v>
      </c>
    </row>
    <row r="2251" spans="1:5">
      <c r="A2251" t="s">
        <v>373</v>
      </c>
      <c r="B2251" t="s">
        <v>11</v>
      </c>
      <c r="C2251" t="s">
        <v>10</v>
      </c>
      <c r="D2251">
        <v>-294.47296999999998</v>
      </c>
    </row>
    <row r="2252" spans="1:5">
      <c r="A2252" t="s">
        <v>373</v>
      </c>
      <c r="B2252" t="s">
        <v>678</v>
      </c>
      <c r="C2252" t="s">
        <v>6</v>
      </c>
      <c r="D2252">
        <v>3173.5526</v>
      </c>
    </row>
    <row r="2253" spans="1:5">
      <c r="A2253" t="s">
        <v>373</v>
      </c>
      <c r="B2253" t="s">
        <v>10</v>
      </c>
      <c r="C2253" t="s">
        <v>6</v>
      </c>
      <c r="D2253">
        <v>139976.43</v>
      </c>
      <c r="E2253" s="1"/>
    </row>
    <row r="2254" spans="1:5">
      <c r="A2254" t="s">
        <v>373</v>
      </c>
      <c r="B2254" t="s">
        <v>11</v>
      </c>
      <c r="C2254" t="s">
        <v>6</v>
      </c>
      <c r="D2254">
        <v>6117.186103</v>
      </c>
    </row>
    <row r="2255" spans="1:5">
      <c r="A2255" t="s">
        <v>373</v>
      </c>
      <c r="B2255" t="s">
        <v>678</v>
      </c>
      <c r="C2255" t="s">
        <v>8</v>
      </c>
      <c r="D2255">
        <v>84.120347039999999</v>
      </c>
    </row>
    <row r="2256" spans="1:5">
      <c r="A2256" t="s">
        <v>373</v>
      </c>
      <c r="B2256" t="s">
        <v>10</v>
      </c>
      <c r="C2256" t="s">
        <v>8</v>
      </c>
      <c r="D2256">
        <v>37384.218076999998</v>
      </c>
    </row>
    <row r="2257" spans="1:5">
      <c r="A2257" t="s">
        <v>373</v>
      </c>
      <c r="B2257" t="s">
        <v>11</v>
      </c>
      <c r="C2257" t="s">
        <v>8</v>
      </c>
      <c r="D2257">
        <v>-1.650959847</v>
      </c>
    </row>
    <row r="2258" spans="1:5">
      <c r="A2258" t="s">
        <v>373</v>
      </c>
      <c r="B2258" t="s">
        <v>678</v>
      </c>
      <c r="C2258" t="s">
        <v>15</v>
      </c>
      <c r="D2258">
        <v>236.84323954000001</v>
      </c>
    </row>
    <row r="2259" spans="1:5">
      <c r="A2259" t="s">
        <v>373</v>
      </c>
      <c r="B2259" t="s">
        <v>10</v>
      </c>
      <c r="C2259" t="s">
        <v>15</v>
      </c>
      <c r="D2259">
        <v>45692.09</v>
      </c>
    </row>
    <row r="2260" spans="1:5">
      <c r="A2260" t="s">
        <v>373</v>
      </c>
      <c r="B2260" t="s">
        <v>11</v>
      </c>
      <c r="C2260" t="s">
        <v>15</v>
      </c>
      <c r="D2260">
        <v>2671.0864235509998</v>
      </c>
    </row>
    <row r="2261" spans="1:5">
      <c r="A2261" t="s">
        <v>373</v>
      </c>
      <c r="B2261" t="s">
        <v>8</v>
      </c>
      <c r="C2261" t="s">
        <v>11</v>
      </c>
      <c r="D2261">
        <v>8410.1401942039993</v>
      </c>
    </row>
    <row r="2262" spans="1:5">
      <c r="A2262" t="s">
        <v>373</v>
      </c>
      <c r="B2262" t="s">
        <v>678</v>
      </c>
      <c r="C2262" t="s">
        <v>7</v>
      </c>
      <c r="D2262">
        <v>128.41755651299999</v>
      </c>
    </row>
    <row r="2263" spans="1:5">
      <c r="A2263" t="s">
        <v>373</v>
      </c>
      <c r="B2263" t="s">
        <v>10</v>
      </c>
      <c r="C2263" t="s">
        <v>7</v>
      </c>
      <c r="D2263">
        <v>1317.0276912500001</v>
      </c>
    </row>
    <row r="2264" spans="1:5">
      <c r="A2264" t="s">
        <v>373</v>
      </c>
      <c r="B2264" t="s">
        <v>7</v>
      </c>
      <c r="C2264" t="s">
        <v>8</v>
      </c>
      <c r="D2264">
        <v>1445.445247763</v>
      </c>
    </row>
    <row r="2265" spans="1:5">
      <c r="A2265" t="s">
        <v>373</v>
      </c>
      <c r="B2265" t="s">
        <v>678</v>
      </c>
      <c r="C2265" t="s">
        <v>16</v>
      </c>
      <c r="D2265">
        <v>522.50422348999996</v>
      </c>
    </row>
    <row r="2266" spans="1:5">
      <c r="A2266" t="s">
        <v>373</v>
      </c>
      <c r="B2266" t="s">
        <v>10</v>
      </c>
      <c r="C2266" t="s">
        <v>16</v>
      </c>
      <c r="D2266">
        <v>96916.418060954995</v>
      </c>
    </row>
    <row r="2267" spans="1:5">
      <c r="A2267" t="s">
        <v>373</v>
      </c>
      <c r="B2267" t="s">
        <v>678</v>
      </c>
      <c r="C2267" t="s">
        <v>17</v>
      </c>
      <c r="D2267">
        <v>0</v>
      </c>
    </row>
    <row r="2268" spans="1:5">
      <c r="A2268" t="s">
        <v>373</v>
      </c>
      <c r="B2268" t="s">
        <v>10</v>
      </c>
      <c r="C2268" t="s">
        <v>17</v>
      </c>
      <c r="D2268">
        <v>1463.7260000000001</v>
      </c>
    </row>
    <row r="2269" spans="1:5">
      <c r="A2269" t="s">
        <v>373</v>
      </c>
      <c r="B2269" t="s">
        <v>17</v>
      </c>
      <c r="C2269" t="s">
        <v>16</v>
      </c>
      <c r="D2269">
        <v>1463.7260000000001</v>
      </c>
    </row>
    <row r="2270" spans="1:5">
      <c r="A2270" t="s">
        <v>373</v>
      </c>
      <c r="B2270" t="s">
        <v>14</v>
      </c>
      <c r="C2270" t="s">
        <v>678</v>
      </c>
      <c r="D2270">
        <v>4187.6779999999999</v>
      </c>
    </row>
    <row r="2271" spans="1:5">
      <c r="A2271" t="s">
        <v>373</v>
      </c>
      <c r="B2271" t="s">
        <v>14</v>
      </c>
      <c r="C2271" t="s">
        <v>10</v>
      </c>
      <c r="D2271">
        <v>150147.1</v>
      </c>
    </row>
    <row r="2272" spans="1:5">
      <c r="A2272" t="s">
        <v>373</v>
      </c>
      <c r="B2272" t="s">
        <v>6</v>
      </c>
      <c r="C2272" t="s">
        <v>14</v>
      </c>
      <c r="D2272">
        <v>154334.77799999999</v>
      </c>
      <c r="E2272" s="1"/>
    </row>
    <row r="2273" spans="1:5">
      <c r="A2273" t="s">
        <v>373</v>
      </c>
      <c r="B2273" t="s">
        <v>8</v>
      </c>
      <c r="C2273" t="s">
        <v>14</v>
      </c>
      <c r="D2273">
        <v>0</v>
      </c>
    </row>
    <row r="2274" spans="1:5">
      <c r="A2274" t="s">
        <v>373</v>
      </c>
      <c r="B2274" t="s">
        <v>9</v>
      </c>
      <c r="C2274" t="s">
        <v>678</v>
      </c>
      <c r="D2274">
        <v>685.36716000000001</v>
      </c>
    </row>
    <row r="2275" spans="1:5">
      <c r="A2275" t="s">
        <v>373</v>
      </c>
      <c r="B2275" t="s">
        <v>9</v>
      </c>
      <c r="C2275" t="s">
        <v>10</v>
      </c>
      <c r="D2275">
        <v>325.87670000000003</v>
      </c>
    </row>
    <row r="2276" spans="1:5">
      <c r="A2276" t="s">
        <v>373</v>
      </c>
      <c r="B2276" t="s">
        <v>6</v>
      </c>
      <c r="C2276" t="s">
        <v>9</v>
      </c>
      <c r="D2276">
        <v>1011.24386</v>
      </c>
    </row>
    <row r="2277" spans="1:5">
      <c r="A2277" t="s">
        <v>373</v>
      </c>
      <c r="B2277" t="s">
        <v>13</v>
      </c>
      <c r="C2277" t="s">
        <v>678</v>
      </c>
      <c r="D2277">
        <v>1313.787</v>
      </c>
    </row>
    <row r="2278" spans="1:5">
      <c r="A2278" t="s">
        <v>373</v>
      </c>
      <c r="B2278" t="s">
        <v>13</v>
      </c>
      <c r="C2278" t="s">
        <v>10</v>
      </c>
      <c r="D2278">
        <v>81730.83</v>
      </c>
    </row>
    <row r="2279" spans="1:5">
      <c r="A2279" t="s">
        <v>373</v>
      </c>
      <c r="B2279" t="s">
        <v>6</v>
      </c>
      <c r="C2279" t="s">
        <v>13</v>
      </c>
      <c r="D2279">
        <v>83044.616999999998</v>
      </c>
      <c r="E2279" s="1"/>
    </row>
    <row r="2280" spans="1:5">
      <c r="A2280" t="s">
        <v>373</v>
      </c>
      <c r="B2280" t="s">
        <v>8</v>
      </c>
      <c r="C2280" t="s">
        <v>678</v>
      </c>
      <c r="D2280">
        <v>-2143.1319274970001</v>
      </c>
    </row>
    <row r="2281" spans="1:5">
      <c r="A2281" t="s">
        <v>373</v>
      </c>
      <c r="B2281" t="s">
        <v>8</v>
      </c>
      <c r="C2281" t="s">
        <v>10</v>
      </c>
      <c r="D2281">
        <v>2894.385022205</v>
      </c>
      <c r="E2281" s="1"/>
    </row>
    <row r="2282" spans="1:5">
      <c r="A2282" t="s">
        <v>373</v>
      </c>
      <c r="B2282" t="s">
        <v>12</v>
      </c>
      <c r="C2282" t="s">
        <v>678</v>
      </c>
      <c r="D2282">
        <v>1519.6861178500001</v>
      </c>
    </row>
    <row r="2283" spans="1:5">
      <c r="A2283" t="s">
        <v>373</v>
      </c>
      <c r="B2283" t="s">
        <v>12</v>
      </c>
      <c r="C2283" t="s">
        <v>10</v>
      </c>
      <c r="D2283">
        <v>1905.5367212599999</v>
      </c>
    </row>
    <row r="2284" spans="1:5">
      <c r="A2284" t="s">
        <v>373</v>
      </c>
      <c r="B2284" t="s">
        <v>8</v>
      </c>
      <c r="C2284" t="s">
        <v>12</v>
      </c>
      <c r="D2284">
        <v>3425.2228391100002</v>
      </c>
    </row>
    <row r="2285" spans="1:5">
      <c r="A2285" t="s">
        <v>373</v>
      </c>
      <c r="B2285" t="s">
        <v>16</v>
      </c>
      <c r="C2285" t="s">
        <v>678</v>
      </c>
      <c r="D2285">
        <v>2066.2725349490001</v>
      </c>
    </row>
    <row r="2286" spans="1:5">
      <c r="A2286" t="s">
        <v>373</v>
      </c>
      <c r="B2286" t="s">
        <v>16</v>
      </c>
      <c r="C2286" t="s">
        <v>10</v>
      </c>
      <c r="D2286">
        <v>82638.441459263006</v>
      </c>
    </row>
    <row r="2287" spans="1:5">
      <c r="A2287" t="s">
        <v>373</v>
      </c>
      <c r="B2287" t="s">
        <v>790</v>
      </c>
      <c r="C2287" t="s">
        <v>678</v>
      </c>
      <c r="D2287">
        <v>0</v>
      </c>
    </row>
    <row r="2288" spans="1:5">
      <c r="A2288" t="s">
        <v>373</v>
      </c>
      <c r="B2288" t="s">
        <v>790</v>
      </c>
      <c r="C2288" t="s">
        <v>10</v>
      </c>
      <c r="D2288">
        <v>0</v>
      </c>
    </row>
    <row r="2289" spans="1:5">
      <c r="A2289" t="s">
        <v>373</v>
      </c>
      <c r="B2289" t="s">
        <v>8</v>
      </c>
      <c r="C2289" t="s">
        <v>790</v>
      </c>
      <c r="D2289">
        <v>0</v>
      </c>
    </row>
    <row r="2290" spans="1:5">
      <c r="A2290" t="s">
        <v>373</v>
      </c>
      <c r="B2290" t="s">
        <v>8</v>
      </c>
      <c r="C2290" t="s">
        <v>6</v>
      </c>
      <c r="D2290">
        <v>26325.470157</v>
      </c>
    </row>
    <row r="2291" spans="1:5">
      <c r="A2291" t="s">
        <v>373</v>
      </c>
      <c r="B2291" t="s">
        <v>15</v>
      </c>
      <c r="C2291" t="s">
        <v>6</v>
      </c>
      <c r="D2291">
        <v>31304.42</v>
      </c>
    </row>
    <row r="2292" spans="1:5">
      <c r="A2292" t="s">
        <v>373</v>
      </c>
      <c r="B2292" t="s">
        <v>5</v>
      </c>
      <c r="C2292" t="s">
        <v>6</v>
      </c>
      <c r="D2292">
        <v>31493.58</v>
      </c>
    </row>
    <row r="2293" spans="1:5">
      <c r="A2293" t="s">
        <v>373</v>
      </c>
      <c r="B2293" t="s">
        <v>15</v>
      </c>
      <c r="C2293" t="s">
        <v>5</v>
      </c>
      <c r="D2293">
        <v>31493.58</v>
      </c>
    </row>
    <row r="2294" spans="1:5">
      <c r="A2294" t="s">
        <v>373</v>
      </c>
      <c r="B2294" t="s">
        <v>6</v>
      </c>
      <c r="C2294" t="s">
        <v>8</v>
      </c>
      <c r="D2294">
        <v>0</v>
      </c>
    </row>
    <row r="2295" spans="1:5">
      <c r="A2295" t="s">
        <v>373</v>
      </c>
      <c r="B2295" t="s">
        <v>16</v>
      </c>
      <c r="C2295" t="s">
        <v>15</v>
      </c>
      <c r="D2295">
        <v>14197.934290233001</v>
      </c>
    </row>
    <row r="2296" spans="1:5">
      <c r="A2296" t="s">
        <v>373</v>
      </c>
      <c r="B2296" t="s">
        <v>8</v>
      </c>
      <c r="C2296" t="s">
        <v>15</v>
      </c>
      <c r="D2296">
        <v>4.6426934000000003E-2</v>
      </c>
      <c r="E2296" s="1"/>
    </row>
    <row r="2297" spans="1:5">
      <c r="A2297" t="s">
        <v>796</v>
      </c>
      <c r="B2297" t="s">
        <v>678</v>
      </c>
      <c r="C2297" t="s">
        <v>678</v>
      </c>
      <c r="D2297">
        <v>783.87239</v>
      </c>
    </row>
    <row r="2298" spans="1:5">
      <c r="A2298" t="s">
        <v>796</v>
      </c>
      <c r="B2298" t="s">
        <v>10</v>
      </c>
      <c r="C2298" t="s">
        <v>678</v>
      </c>
      <c r="D2298">
        <v>3122.4167000000002</v>
      </c>
    </row>
    <row r="2299" spans="1:5">
      <c r="A2299" t="s">
        <v>796</v>
      </c>
      <c r="B2299" t="s">
        <v>678</v>
      </c>
      <c r="C2299" t="s">
        <v>10</v>
      </c>
      <c r="D2299">
        <v>4313.1040000000003</v>
      </c>
    </row>
    <row r="2300" spans="1:5">
      <c r="A2300" t="s">
        <v>796</v>
      </c>
      <c r="B2300" t="s">
        <v>10</v>
      </c>
      <c r="C2300" t="s">
        <v>10</v>
      </c>
      <c r="D2300">
        <v>140593.93</v>
      </c>
    </row>
    <row r="2301" spans="1:5">
      <c r="A2301" t="s">
        <v>796</v>
      </c>
      <c r="B2301" t="s">
        <v>11</v>
      </c>
      <c r="C2301" t="s">
        <v>678</v>
      </c>
      <c r="D2301">
        <v>1646.6443864</v>
      </c>
    </row>
    <row r="2302" spans="1:5">
      <c r="A2302" t="s">
        <v>796</v>
      </c>
      <c r="B2302" t="s">
        <v>11</v>
      </c>
      <c r="C2302" t="s">
        <v>10</v>
      </c>
      <c r="D2302">
        <v>25104.674526999999</v>
      </c>
    </row>
    <row r="2303" spans="1:5">
      <c r="A2303" t="s">
        <v>796</v>
      </c>
      <c r="B2303" t="s">
        <v>678</v>
      </c>
      <c r="C2303" t="s">
        <v>6</v>
      </c>
      <c r="D2303">
        <v>1100.0102999999999</v>
      </c>
    </row>
    <row r="2304" spans="1:5">
      <c r="A2304" t="s">
        <v>796</v>
      </c>
      <c r="B2304" t="s">
        <v>10</v>
      </c>
      <c r="C2304" t="s">
        <v>6</v>
      </c>
      <c r="D2304">
        <v>68443.678</v>
      </c>
    </row>
    <row r="2305" spans="1:4">
      <c r="A2305" t="s">
        <v>796</v>
      </c>
      <c r="B2305" t="s">
        <v>11</v>
      </c>
      <c r="C2305" t="s">
        <v>6</v>
      </c>
      <c r="D2305">
        <v>8300.1870780000008</v>
      </c>
    </row>
    <row r="2306" spans="1:4">
      <c r="A2306" t="s">
        <v>796</v>
      </c>
      <c r="B2306" t="s">
        <v>678</v>
      </c>
      <c r="C2306" t="s">
        <v>8</v>
      </c>
      <c r="D2306">
        <v>99.114347910000006</v>
      </c>
    </row>
    <row r="2307" spans="1:4">
      <c r="A2307" t="s">
        <v>796</v>
      </c>
      <c r="B2307" t="s">
        <v>10</v>
      </c>
      <c r="C2307" t="s">
        <v>8</v>
      </c>
      <c r="D2307">
        <v>32486.88737</v>
      </c>
    </row>
    <row r="2308" spans="1:4">
      <c r="A2308" t="s">
        <v>796</v>
      </c>
      <c r="B2308" t="s">
        <v>11</v>
      </c>
      <c r="C2308" t="s">
        <v>8</v>
      </c>
      <c r="D2308">
        <v>-1.37061732</v>
      </c>
    </row>
    <row r="2309" spans="1:4">
      <c r="A2309" t="s">
        <v>796</v>
      </c>
      <c r="B2309" t="s">
        <v>678</v>
      </c>
      <c r="C2309" t="s">
        <v>15</v>
      </c>
      <c r="D2309">
        <v>135.97485816</v>
      </c>
    </row>
    <row r="2310" spans="1:4">
      <c r="A2310" t="s">
        <v>796</v>
      </c>
      <c r="B2310" t="s">
        <v>10</v>
      </c>
      <c r="C2310" t="s">
        <v>15</v>
      </c>
      <c r="D2310">
        <v>34695.64</v>
      </c>
    </row>
    <row r="2311" spans="1:4">
      <c r="A2311" t="s">
        <v>796</v>
      </c>
      <c r="B2311" t="s">
        <v>11</v>
      </c>
      <c r="C2311" t="s">
        <v>15</v>
      </c>
      <c r="D2311">
        <v>2028.8684026200001</v>
      </c>
    </row>
    <row r="2312" spans="1:4">
      <c r="A2312" t="s">
        <v>796</v>
      </c>
      <c r="B2312" t="s">
        <v>8</v>
      </c>
      <c r="C2312" t="s">
        <v>11</v>
      </c>
      <c r="D2312">
        <v>37079.003776700003</v>
      </c>
    </row>
    <row r="2313" spans="1:4">
      <c r="A2313" t="s">
        <v>796</v>
      </c>
      <c r="B2313" t="s">
        <v>678</v>
      </c>
      <c r="C2313" t="s">
        <v>7</v>
      </c>
      <c r="D2313">
        <v>86.360199119000001</v>
      </c>
    </row>
    <row r="2314" spans="1:4">
      <c r="A2314" t="s">
        <v>796</v>
      </c>
      <c r="B2314" t="s">
        <v>10</v>
      </c>
      <c r="C2314" t="s">
        <v>7</v>
      </c>
      <c r="D2314">
        <v>254.609988179</v>
      </c>
    </row>
    <row r="2315" spans="1:4">
      <c r="A2315" t="s">
        <v>796</v>
      </c>
      <c r="B2315" t="s">
        <v>7</v>
      </c>
      <c r="C2315" t="s">
        <v>8</v>
      </c>
      <c r="D2315">
        <v>340.97018729799998</v>
      </c>
    </row>
    <row r="2316" spans="1:4">
      <c r="A2316" t="s">
        <v>796</v>
      </c>
      <c r="B2316" t="s">
        <v>678</v>
      </c>
      <c r="C2316" t="s">
        <v>16</v>
      </c>
      <c r="D2316">
        <v>1449.400423631</v>
      </c>
    </row>
    <row r="2317" spans="1:4">
      <c r="A2317" t="s">
        <v>796</v>
      </c>
      <c r="B2317" t="s">
        <v>10</v>
      </c>
      <c r="C2317" t="s">
        <v>16</v>
      </c>
      <c r="D2317">
        <v>58019.939421499999</v>
      </c>
    </row>
    <row r="2318" spans="1:4">
      <c r="A2318" t="s">
        <v>796</v>
      </c>
      <c r="B2318" t="s">
        <v>678</v>
      </c>
      <c r="C2318" t="s">
        <v>17</v>
      </c>
      <c r="D2318">
        <v>0</v>
      </c>
    </row>
    <row r="2319" spans="1:4">
      <c r="A2319" t="s">
        <v>796</v>
      </c>
      <c r="B2319" t="s">
        <v>10</v>
      </c>
      <c r="C2319" t="s">
        <v>17</v>
      </c>
      <c r="D2319">
        <v>8106.62</v>
      </c>
    </row>
    <row r="2320" spans="1:4">
      <c r="A2320" t="s">
        <v>796</v>
      </c>
      <c r="B2320" t="s">
        <v>17</v>
      </c>
      <c r="C2320" t="s">
        <v>16</v>
      </c>
      <c r="D2320">
        <v>8106.62</v>
      </c>
    </row>
    <row r="2321" spans="1:4">
      <c r="A2321" t="s">
        <v>796</v>
      </c>
      <c r="B2321" t="s">
        <v>14</v>
      </c>
      <c r="C2321" t="s">
        <v>678</v>
      </c>
      <c r="D2321">
        <v>2304.3229999999999</v>
      </c>
    </row>
    <row r="2322" spans="1:4">
      <c r="A2322" t="s">
        <v>796</v>
      </c>
      <c r="B2322" t="s">
        <v>14</v>
      </c>
      <c r="C2322" t="s">
        <v>10</v>
      </c>
      <c r="D2322">
        <v>82890.259999999995</v>
      </c>
    </row>
    <row r="2323" spans="1:4">
      <c r="A2323" t="s">
        <v>796</v>
      </c>
      <c r="B2323" t="s">
        <v>6</v>
      </c>
      <c r="C2323" t="s">
        <v>14</v>
      </c>
      <c r="D2323">
        <v>85194.582999999999</v>
      </c>
    </row>
    <row r="2324" spans="1:4">
      <c r="A2324" t="s">
        <v>796</v>
      </c>
      <c r="B2324" t="s">
        <v>8</v>
      </c>
      <c r="C2324" t="s">
        <v>14</v>
      </c>
      <c r="D2324">
        <v>0</v>
      </c>
    </row>
    <row r="2325" spans="1:4">
      <c r="A2325" t="s">
        <v>796</v>
      </c>
      <c r="B2325" t="s">
        <v>9</v>
      </c>
      <c r="C2325" t="s">
        <v>678</v>
      </c>
      <c r="D2325">
        <v>580.59529999999995</v>
      </c>
    </row>
    <row r="2326" spans="1:4">
      <c r="A2326" t="s">
        <v>796</v>
      </c>
      <c r="B2326" t="s">
        <v>9</v>
      </c>
      <c r="C2326" t="s">
        <v>10</v>
      </c>
      <c r="D2326">
        <v>5456.4030000000002</v>
      </c>
    </row>
    <row r="2327" spans="1:4">
      <c r="A2327" t="s">
        <v>796</v>
      </c>
      <c r="B2327" t="s">
        <v>6</v>
      </c>
      <c r="C2327" t="s">
        <v>9</v>
      </c>
      <c r="D2327">
        <v>6036.9983000000002</v>
      </c>
    </row>
    <row r="2328" spans="1:4">
      <c r="A2328" t="s">
        <v>796</v>
      </c>
      <c r="B2328" t="s">
        <v>13</v>
      </c>
      <c r="C2328" t="s">
        <v>678</v>
      </c>
      <c r="D2328">
        <v>820.27239999999995</v>
      </c>
    </row>
    <row r="2329" spans="1:4">
      <c r="A2329" t="s">
        <v>796</v>
      </c>
      <c r="B2329" t="s">
        <v>13</v>
      </c>
      <c r="C2329" t="s">
        <v>10</v>
      </c>
      <c r="D2329">
        <v>40185.57</v>
      </c>
    </row>
    <row r="2330" spans="1:4">
      <c r="A2330" t="s">
        <v>796</v>
      </c>
      <c r="B2330" t="s">
        <v>6</v>
      </c>
      <c r="C2330" t="s">
        <v>13</v>
      </c>
      <c r="D2330">
        <v>41005.842400000001</v>
      </c>
    </row>
    <row r="2331" spans="1:4">
      <c r="A2331" t="s">
        <v>796</v>
      </c>
      <c r="B2331" t="s">
        <v>8</v>
      </c>
      <c r="C2331" t="s">
        <v>678</v>
      </c>
      <c r="D2331">
        <v>-2369.6103936499999</v>
      </c>
    </row>
    <row r="2332" spans="1:4">
      <c r="A2332" t="s">
        <v>796</v>
      </c>
      <c r="B2332" t="s">
        <v>8</v>
      </c>
      <c r="C2332" t="s">
        <v>10</v>
      </c>
      <c r="D2332">
        <v>1179.5518826790001</v>
      </c>
    </row>
    <row r="2333" spans="1:4">
      <c r="A2333" t="s">
        <v>796</v>
      </c>
      <c r="B2333" t="s">
        <v>12</v>
      </c>
      <c r="C2333" t="s">
        <v>678</v>
      </c>
      <c r="D2333">
        <v>261.015670688</v>
      </c>
    </row>
    <row r="2334" spans="1:4">
      <c r="A2334" t="s">
        <v>796</v>
      </c>
      <c r="B2334" t="s">
        <v>12</v>
      </c>
      <c r="C2334" t="s">
        <v>10</v>
      </c>
      <c r="D2334">
        <v>629.41365342899996</v>
      </c>
    </row>
    <row r="2335" spans="1:4">
      <c r="A2335" t="s">
        <v>796</v>
      </c>
      <c r="B2335" t="s">
        <v>8</v>
      </c>
      <c r="C2335" t="s">
        <v>12</v>
      </c>
      <c r="D2335">
        <v>890.42932411699996</v>
      </c>
    </row>
    <row r="2336" spans="1:4">
      <c r="A2336" t="s">
        <v>796</v>
      </c>
      <c r="B2336" t="s">
        <v>16</v>
      </c>
      <c r="C2336" t="s">
        <v>678</v>
      </c>
      <c r="D2336">
        <v>818.30686782600003</v>
      </c>
    </row>
    <row r="2337" spans="1:4">
      <c r="A2337" t="s">
        <v>796</v>
      </c>
      <c r="B2337" t="s">
        <v>16</v>
      </c>
      <c r="C2337" t="s">
        <v>10</v>
      </c>
      <c r="D2337">
        <v>45370.814649120999</v>
      </c>
    </row>
    <row r="2338" spans="1:4">
      <c r="A2338" t="s">
        <v>796</v>
      </c>
      <c r="B2338" t="s">
        <v>790</v>
      </c>
      <c r="C2338" t="s">
        <v>678</v>
      </c>
      <c r="D2338">
        <v>0</v>
      </c>
    </row>
    <row r="2339" spans="1:4">
      <c r="A2339" t="s">
        <v>796</v>
      </c>
      <c r="B2339" t="s">
        <v>790</v>
      </c>
      <c r="C2339" t="s">
        <v>10</v>
      </c>
      <c r="D2339">
        <v>0</v>
      </c>
    </row>
    <row r="2340" spans="1:4">
      <c r="A2340" t="s">
        <v>796</v>
      </c>
      <c r="B2340" t="s">
        <v>8</v>
      </c>
      <c r="C2340" t="s">
        <v>790</v>
      </c>
      <c r="D2340">
        <v>0</v>
      </c>
    </row>
    <row r="2341" spans="1:4">
      <c r="A2341" t="s">
        <v>796</v>
      </c>
      <c r="B2341" t="s">
        <v>8</v>
      </c>
      <c r="C2341" t="s">
        <v>6</v>
      </c>
      <c r="D2341">
        <v>-3853.7716780000001</v>
      </c>
    </row>
    <row r="2342" spans="1:4">
      <c r="A2342" t="s">
        <v>796</v>
      </c>
      <c r="B2342" t="s">
        <v>15</v>
      </c>
      <c r="C2342" t="s">
        <v>6</v>
      </c>
      <c r="D2342">
        <v>38090.550000000003</v>
      </c>
    </row>
    <row r="2343" spans="1:4">
      <c r="A2343" t="s">
        <v>796</v>
      </c>
      <c r="B2343" t="s">
        <v>5</v>
      </c>
      <c r="C2343" t="s">
        <v>6</v>
      </c>
      <c r="D2343">
        <v>20156.77</v>
      </c>
    </row>
    <row r="2344" spans="1:4">
      <c r="A2344" t="s">
        <v>796</v>
      </c>
      <c r="B2344" t="s">
        <v>15</v>
      </c>
      <c r="C2344" t="s">
        <v>5</v>
      </c>
      <c r="D2344">
        <v>20156.77</v>
      </c>
    </row>
    <row r="2345" spans="1:4">
      <c r="A2345" t="s">
        <v>796</v>
      </c>
      <c r="B2345" t="s">
        <v>6</v>
      </c>
      <c r="C2345" t="s">
        <v>8</v>
      </c>
      <c r="D2345">
        <v>0</v>
      </c>
    </row>
    <row r="2346" spans="1:4">
      <c r="A2346" t="s">
        <v>796</v>
      </c>
      <c r="B2346" t="s">
        <v>16</v>
      </c>
      <c r="C2346" t="s">
        <v>15</v>
      </c>
      <c r="D2346">
        <v>21386.838328184</v>
      </c>
    </row>
    <row r="2347" spans="1:4">
      <c r="A2347" t="s">
        <v>796</v>
      </c>
      <c r="B2347" t="s">
        <v>15</v>
      </c>
      <c r="C2347" t="s">
        <v>8</v>
      </c>
      <c r="D2347">
        <v>1.623958E-3</v>
      </c>
    </row>
    <row r="2348" spans="1:4">
      <c r="A2348" t="s">
        <v>379</v>
      </c>
      <c r="B2348" t="s">
        <v>678</v>
      </c>
      <c r="C2348" t="s">
        <v>678</v>
      </c>
      <c r="D2348">
        <v>1363.9145699999999</v>
      </c>
    </row>
    <row r="2349" spans="1:4">
      <c r="A2349" t="s">
        <v>379</v>
      </c>
      <c r="B2349" t="s">
        <v>10</v>
      </c>
      <c r="C2349" t="s">
        <v>678</v>
      </c>
      <c r="D2349">
        <v>2230.8389000000002</v>
      </c>
    </row>
    <row r="2350" spans="1:4">
      <c r="A2350" t="s">
        <v>379</v>
      </c>
      <c r="B2350" t="s">
        <v>678</v>
      </c>
      <c r="C2350" t="s">
        <v>10</v>
      </c>
      <c r="D2350">
        <v>2936.56</v>
      </c>
    </row>
    <row r="2351" spans="1:4">
      <c r="A2351" t="s">
        <v>379</v>
      </c>
      <c r="B2351" t="s">
        <v>10</v>
      </c>
      <c r="C2351" t="s">
        <v>10</v>
      </c>
      <c r="D2351">
        <v>42378.89</v>
      </c>
    </row>
    <row r="2352" spans="1:4">
      <c r="A2352" t="s">
        <v>379</v>
      </c>
      <c r="B2352" t="s">
        <v>11</v>
      </c>
      <c r="C2352" t="s">
        <v>678</v>
      </c>
      <c r="D2352">
        <v>428.86092000000002</v>
      </c>
    </row>
    <row r="2353" spans="1:4">
      <c r="A2353" t="s">
        <v>379</v>
      </c>
      <c r="B2353" t="s">
        <v>11</v>
      </c>
      <c r="C2353" t="s">
        <v>10</v>
      </c>
      <c r="D2353">
        <v>4234.4763899999998</v>
      </c>
    </row>
    <row r="2354" spans="1:4">
      <c r="A2354" t="s">
        <v>379</v>
      </c>
      <c r="B2354" t="s">
        <v>678</v>
      </c>
      <c r="C2354" t="s">
        <v>6</v>
      </c>
      <c r="D2354">
        <v>928.66060000000004</v>
      </c>
    </row>
    <row r="2355" spans="1:4">
      <c r="A2355" t="s">
        <v>379</v>
      </c>
      <c r="B2355" t="s">
        <v>10</v>
      </c>
      <c r="C2355" t="s">
        <v>6</v>
      </c>
      <c r="D2355">
        <v>24026.618999999999</v>
      </c>
    </row>
    <row r="2356" spans="1:4">
      <c r="A2356" t="s">
        <v>379</v>
      </c>
      <c r="B2356" t="s">
        <v>11</v>
      </c>
      <c r="C2356" t="s">
        <v>6</v>
      </c>
      <c r="D2356">
        <v>3504.05548</v>
      </c>
    </row>
    <row r="2357" spans="1:4">
      <c r="A2357" t="s">
        <v>379</v>
      </c>
      <c r="B2357" t="s">
        <v>678</v>
      </c>
      <c r="C2357" t="s">
        <v>8</v>
      </c>
      <c r="D2357">
        <v>53.052589478999998</v>
      </c>
    </row>
    <row r="2358" spans="1:4">
      <c r="A2358" t="s">
        <v>379</v>
      </c>
      <c r="B2358" t="s">
        <v>10</v>
      </c>
      <c r="C2358" t="s">
        <v>8</v>
      </c>
      <c r="D2358">
        <v>4566.8611199999996</v>
      </c>
    </row>
    <row r="2359" spans="1:4">
      <c r="A2359" t="s">
        <v>379</v>
      </c>
      <c r="B2359" t="s">
        <v>11</v>
      </c>
      <c r="C2359" t="s">
        <v>8</v>
      </c>
      <c r="D2359">
        <v>0</v>
      </c>
    </row>
    <row r="2360" spans="1:4">
      <c r="A2360" t="s">
        <v>379</v>
      </c>
      <c r="B2360" t="s">
        <v>678</v>
      </c>
      <c r="C2360" t="s">
        <v>15</v>
      </c>
      <c r="D2360">
        <v>22.147584869999999</v>
      </c>
    </row>
    <row r="2361" spans="1:4">
      <c r="A2361" t="s">
        <v>379</v>
      </c>
      <c r="B2361" t="s">
        <v>10</v>
      </c>
      <c r="C2361" t="s">
        <v>15</v>
      </c>
      <c r="D2361">
        <v>9166.5949999999993</v>
      </c>
    </row>
    <row r="2362" spans="1:4">
      <c r="A2362" t="s">
        <v>379</v>
      </c>
      <c r="B2362" t="s">
        <v>11</v>
      </c>
      <c r="C2362" t="s">
        <v>15</v>
      </c>
      <c r="D2362">
        <v>897.45784760000004</v>
      </c>
    </row>
    <row r="2363" spans="1:4">
      <c r="A2363" t="s">
        <v>379</v>
      </c>
      <c r="B2363" t="s">
        <v>8</v>
      </c>
      <c r="C2363" t="s">
        <v>11</v>
      </c>
      <c r="D2363">
        <v>9064.8506376000005</v>
      </c>
    </row>
    <row r="2364" spans="1:4">
      <c r="A2364" t="s">
        <v>379</v>
      </c>
      <c r="B2364" t="s">
        <v>678</v>
      </c>
      <c r="C2364" t="s">
        <v>7</v>
      </c>
      <c r="D2364">
        <v>-22.029222124</v>
      </c>
    </row>
    <row r="2365" spans="1:4">
      <c r="A2365" t="s">
        <v>379</v>
      </c>
      <c r="B2365" t="s">
        <v>10</v>
      </c>
      <c r="C2365" t="s">
        <v>7</v>
      </c>
      <c r="D2365">
        <v>232.82374090499999</v>
      </c>
    </row>
    <row r="2366" spans="1:4">
      <c r="A2366" t="s">
        <v>379</v>
      </c>
      <c r="B2366" t="s">
        <v>7</v>
      </c>
      <c r="C2366" t="s">
        <v>8</v>
      </c>
      <c r="D2366">
        <v>210.79451878099999</v>
      </c>
    </row>
    <row r="2367" spans="1:4">
      <c r="A2367" t="s">
        <v>379</v>
      </c>
      <c r="B2367" t="s">
        <v>678</v>
      </c>
      <c r="C2367" t="s">
        <v>16</v>
      </c>
      <c r="D2367">
        <v>920.18584630500004</v>
      </c>
    </row>
    <row r="2368" spans="1:4">
      <c r="A2368" t="s">
        <v>379</v>
      </c>
      <c r="B2368" t="s">
        <v>10</v>
      </c>
      <c r="C2368" t="s">
        <v>16</v>
      </c>
      <c r="D2368">
        <v>20689.761176</v>
      </c>
    </row>
    <row r="2369" spans="1:4">
      <c r="A2369" t="s">
        <v>379</v>
      </c>
      <c r="B2369" t="s">
        <v>678</v>
      </c>
      <c r="C2369" t="s">
        <v>17</v>
      </c>
      <c r="D2369">
        <v>0</v>
      </c>
    </row>
    <row r="2370" spans="1:4">
      <c r="A2370" t="s">
        <v>379</v>
      </c>
      <c r="B2370" t="s">
        <v>10</v>
      </c>
      <c r="C2370" t="s">
        <v>17</v>
      </c>
      <c r="D2370">
        <v>360.08940000000001</v>
      </c>
    </row>
    <row r="2371" spans="1:4">
      <c r="A2371" t="s">
        <v>379</v>
      </c>
      <c r="B2371" t="s">
        <v>17</v>
      </c>
      <c r="C2371" t="s">
        <v>16</v>
      </c>
      <c r="D2371">
        <v>360.08940000000001</v>
      </c>
    </row>
    <row r="2372" spans="1:4">
      <c r="A2372" t="s">
        <v>379</v>
      </c>
      <c r="B2372" t="s">
        <v>14</v>
      </c>
      <c r="C2372" t="s">
        <v>678</v>
      </c>
      <c r="D2372">
        <v>983.8759</v>
      </c>
    </row>
    <row r="2373" spans="1:4">
      <c r="A2373" t="s">
        <v>379</v>
      </c>
      <c r="B2373" t="s">
        <v>14</v>
      </c>
      <c r="C2373" t="s">
        <v>10</v>
      </c>
      <c r="D2373">
        <v>14174.89</v>
      </c>
    </row>
    <row r="2374" spans="1:4">
      <c r="A2374" t="s">
        <v>379</v>
      </c>
      <c r="B2374" t="s">
        <v>6</v>
      </c>
      <c r="C2374" t="s">
        <v>14</v>
      </c>
      <c r="D2374">
        <v>15158.7659</v>
      </c>
    </row>
    <row r="2375" spans="1:4">
      <c r="A2375" t="s">
        <v>379</v>
      </c>
      <c r="B2375" t="s">
        <v>8</v>
      </c>
      <c r="C2375" t="s">
        <v>14</v>
      </c>
      <c r="D2375">
        <v>0</v>
      </c>
    </row>
    <row r="2376" spans="1:4">
      <c r="A2376" t="s">
        <v>379</v>
      </c>
      <c r="B2376" t="s">
        <v>9</v>
      </c>
      <c r="C2376" t="s">
        <v>678</v>
      </c>
      <c r="D2376">
        <v>646.37842000000001</v>
      </c>
    </row>
    <row r="2377" spans="1:4">
      <c r="A2377" t="s">
        <v>379</v>
      </c>
      <c r="B2377" t="s">
        <v>9</v>
      </c>
      <c r="C2377" t="s">
        <v>10</v>
      </c>
      <c r="D2377">
        <v>47.875819999999997</v>
      </c>
    </row>
    <row r="2378" spans="1:4">
      <c r="A2378" t="s">
        <v>379</v>
      </c>
      <c r="B2378" t="s">
        <v>6</v>
      </c>
      <c r="C2378" t="s">
        <v>9</v>
      </c>
      <c r="D2378">
        <v>694.25423999999998</v>
      </c>
    </row>
    <row r="2379" spans="1:4">
      <c r="A2379" t="s">
        <v>379</v>
      </c>
      <c r="B2379" t="s">
        <v>13</v>
      </c>
      <c r="C2379" t="s">
        <v>678</v>
      </c>
      <c r="D2379">
        <v>232.1319</v>
      </c>
    </row>
    <row r="2380" spans="1:4">
      <c r="A2380" t="s">
        <v>379</v>
      </c>
      <c r="B2380" t="s">
        <v>13</v>
      </c>
      <c r="C2380" t="s">
        <v>10</v>
      </c>
      <c r="D2380">
        <v>13288.36</v>
      </c>
    </row>
    <row r="2381" spans="1:4">
      <c r="A2381" t="s">
        <v>379</v>
      </c>
      <c r="B2381" t="s">
        <v>6</v>
      </c>
      <c r="C2381" t="s">
        <v>13</v>
      </c>
      <c r="D2381">
        <v>13520.491900000001</v>
      </c>
    </row>
    <row r="2382" spans="1:4">
      <c r="A2382" t="s">
        <v>379</v>
      </c>
      <c r="B2382" t="s">
        <v>8</v>
      </c>
      <c r="C2382" t="s">
        <v>678</v>
      </c>
      <c r="D2382">
        <v>-269.59514581899998</v>
      </c>
    </row>
    <row r="2383" spans="1:4">
      <c r="A2383" t="s">
        <v>379</v>
      </c>
      <c r="B2383" t="s">
        <v>8</v>
      </c>
      <c r="C2383" t="s">
        <v>10</v>
      </c>
      <c r="D2383">
        <v>-131.975893095</v>
      </c>
    </row>
    <row r="2384" spans="1:4">
      <c r="A2384" t="s">
        <v>379</v>
      </c>
      <c r="B2384" t="s">
        <v>12</v>
      </c>
      <c r="C2384" t="s">
        <v>678</v>
      </c>
      <c r="D2384">
        <v>54.259904022999997</v>
      </c>
    </row>
    <row r="2385" spans="1:4">
      <c r="A2385" t="s">
        <v>379</v>
      </c>
      <c r="B2385" t="s">
        <v>12</v>
      </c>
      <c r="C2385" t="s">
        <v>10</v>
      </c>
      <c r="D2385">
        <v>1142.7161198250001</v>
      </c>
    </row>
    <row r="2386" spans="1:4">
      <c r="A2386" t="s">
        <v>379</v>
      </c>
      <c r="B2386" t="s">
        <v>8</v>
      </c>
      <c r="C2386" t="s">
        <v>12</v>
      </c>
      <c r="D2386">
        <v>1196.9760238480001</v>
      </c>
    </row>
    <row r="2387" spans="1:4">
      <c r="A2387" t="s">
        <v>379</v>
      </c>
      <c r="B2387" t="s">
        <v>16</v>
      </c>
      <c r="C2387" t="s">
        <v>678</v>
      </c>
      <c r="D2387">
        <v>531.82654094500003</v>
      </c>
    </row>
    <row r="2388" spans="1:4">
      <c r="A2388" t="s">
        <v>379</v>
      </c>
      <c r="B2388" t="s">
        <v>16</v>
      </c>
      <c r="C2388" t="s">
        <v>10</v>
      </c>
      <c r="D2388">
        <v>25580.692179035999</v>
      </c>
    </row>
    <row r="2389" spans="1:4">
      <c r="A2389" t="s">
        <v>379</v>
      </c>
      <c r="B2389" t="s">
        <v>790</v>
      </c>
      <c r="C2389" t="s">
        <v>678</v>
      </c>
      <c r="D2389">
        <v>0</v>
      </c>
    </row>
    <row r="2390" spans="1:4">
      <c r="A2390" t="s">
        <v>379</v>
      </c>
      <c r="B2390" t="s">
        <v>790</v>
      </c>
      <c r="C2390" t="s">
        <v>10</v>
      </c>
      <c r="D2390">
        <v>0</v>
      </c>
    </row>
    <row r="2391" spans="1:4">
      <c r="A2391" t="s">
        <v>379</v>
      </c>
      <c r="B2391" t="s">
        <v>8</v>
      </c>
      <c r="C2391" t="s">
        <v>790</v>
      </c>
      <c r="D2391">
        <v>0</v>
      </c>
    </row>
    <row r="2392" spans="1:4">
      <c r="A2392" t="s">
        <v>379</v>
      </c>
      <c r="B2392" t="s">
        <v>8</v>
      </c>
      <c r="C2392" t="s">
        <v>6</v>
      </c>
      <c r="D2392">
        <v>-5029.5465400000003</v>
      </c>
    </row>
    <row r="2393" spans="1:4">
      <c r="A2393" t="s">
        <v>379</v>
      </c>
      <c r="B2393" t="s">
        <v>15</v>
      </c>
      <c r="C2393" t="s">
        <v>6</v>
      </c>
      <c r="D2393">
        <v>-79.929500000000004</v>
      </c>
    </row>
    <row r="2394" spans="1:4">
      <c r="A2394" t="s">
        <v>379</v>
      </c>
      <c r="B2394" t="s">
        <v>5</v>
      </c>
      <c r="C2394" t="s">
        <v>6</v>
      </c>
      <c r="D2394">
        <v>6023.6530000000002</v>
      </c>
    </row>
    <row r="2395" spans="1:4">
      <c r="A2395" t="s">
        <v>379</v>
      </c>
      <c r="B2395" t="s">
        <v>15</v>
      </c>
      <c r="C2395" t="s">
        <v>5</v>
      </c>
      <c r="D2395">
        <v>6023.6530000000002</v>
      </c>
    </row>
    <row r="2396" spans="1:4">
      <c r="A2396" t="s">
        <v>379</v>
      </c>
      <c r="B2396" t="s">
        <v>6</v>
      </c>
      <c r="C2396" t="s">
        <v>8</v>
      </c>
      <c r="D2396">
        <v>0</v>
      </c>
    </row>
    <row r="2397" spans="1:4">
      <c r="A2397" t="s">
        <v>379</v>
      </c>
      <c r="B2397" t="s">
        <v>15</v>
      </c>
      <c r="C2397" t="s">
        <v>16</v>
      </c>
      <c r="D2397">
        <v>4142.4822976759997</v>
      </c>
    </row>
    <row r="2398" spans="1:4">
      <c r="A2398" t="s">
        <v>379</v>
      </c>
      <c r="B2398" t="s">
        <v>15</v>
      </c>
      <c r="C2398" t="s">
        <v>8</v>
      </c>
      <c r="D2398">
        <v>8.5427400000000003E-4</v>
      </c>
    </row>
    <row r="2399" spans="1:4">
      <c r="A2399" t="s">
        <v>381</v>
      </c>
      <c r="B2399" t="s">
        <v>678</v>
      </c>
      <c r="C2399" t="s">
        <v>678</v>
      </c>
      <c r="D2399">
        <v>3866.0974999999999</v>
      </c>
    </row>
    <row r="2400" spans="1:4">
      <c r="A2400" t="s">
        <v>381</v>
      </c>
      <c r="B2400" t="s">
        <v>10</v>
      </c>
      <c r="C2400" t="s">
        <v>678</v>
      </c>
      <c r="D2400">
        <v>5700.6175000000003</v>
      </c>
    </row>
    <row r="2401" spans="1:4">
      <c r="A2401" t="s">
        <v>381</v>
      </c>
      <c r="B2401" t="s">
        <v>678</v>
      </c>
      <c r="C2401" t="s">
        <v>10</v>
      </c>
      <c r="D2401">
        <v>9274.4330000000009</v>
      </c>
    </row>
    <row r="2402" spans="1:4">
      <c r="A2402" t="s">
        <v>381</v>
      </c>
      <c r="B2402" t="s">
        <v>10</v>
      </c>
      <c r="C2402" t="s">
        <v>10</v>
      </c>
      <c r="D2402">
        <v>128778.84</v>
      </c>
    </row>
    <row r="2403" spans="1:4">
      <c r="A2403" t="s">
        <v>381</v>
      </c>
      <c r="B2403" t="s">
        <v>11</v>
      </c>
      <c r="C2403" t="s">
        <v>678</v>
      </c>
      <c r="D2403">
        <v>543.70583999999997</v>
      </c>
    </row>
    <row r="2404" spans="1:4">
      <c r="A2404" t="s">
        <v>381</v>
      </c>
      <c r="B2404" t="s">
        <v>11</v>
      </c>
      <c r="C2404" t="s">
        <v>10</v>
      </c>
      <c r="D2404">
        <v>5971.9</v>
      </c>
    </row>
    <row r="2405" spans="1:4">
      <c r="A2405" t="s">
        <v>381</v>
      </c>
      <c r="B2405" t="s">
        <v>678</v>
      </c>
      <c r="C2405" t="s">
        <v>6</v>
      </c>
      <c r="D2405">
        <v>4575.4237000000003</v>
      </c>
    </row>
    <row r="2406" spans="1:4">
      <c r="A2406" t="s">
        <v>381</v>
      </c>
      <c r="B2406" t="s">
        <v>10</v>
      </c>
      <c r="C2406" t="s">
        <v>6</v>
      </c>
      <c r="D2406">
        <v>72638.607000000004</v>
      </c>
    </row>
    <row r="2407" spans="1:4">
      <c r="A2407" t="s">
        <v>381</v>
      </c>
      <c r="B2407" t="s">
        <v>11</v>
      </c>
      <c r="C2407" t="s">
        <v>6</v>
      </c>
      <c r="D2407">
        <v>9862.3041200000007</v>
      </c>
    </row>
    <row r="2408" spans="1:4">
      <c r="A2408" t="s">
        <v>381</v>
      </c>
      <c r="B2408" t="s">
        <v>678</v>
      </c>
      <c r="C2408" t="s">
        <v>8</v>
      </c>
      <c r="D2408">
        <v>6.103565E-3</v>
      </c>
    </row>
    <row r="2409" spans="1:4">
      <c r="A2409" t="s">
        <v>381</v>
      </c>
      <c r="B2409" t="s">
        <v>10</v>
      </c>
      <c r="C2409" t="s">
        <v>8</v>
      </c>
      <c r="D2409">
        <v>21373.176100000001</v>
      </c>
    </row>
    <row r="2410" spans="1:4">
      <c r="A2410" t="s">
        <v>381</v>
      </c>
      <c r="B2410" t="s">
        <v>11</v>
      </c>
      <c r="C2410" t="s">
        <v>8</v>
      </c>
      <c r="D2410">
        <v>2588.3510500000002</v>
      </c>
    </row>
    <row r="2411" spans="1:4">
      <c r="A2411" t="s">
        <v>381</v>
      </c>
      <c r="B2411" t="s">
        <v>678</v>
      </c>
      <c r="C2411" t="s">
        <v>15</v>
      </c>
      <c r="D2411">
        <v>1.8314499000000001E-2</v>
      </c>
    </row>
    <row r="2412" spans="1:4">
      <c r="A2412" t="s">
        <v>381</v>
      </c>
      <c r="B2412" t="s">
        <v>10</v>
      </c>
      <c r="C2412" t="s">
        <v>15</v>
      </c>
      <c r="D2412">
        <v>25236.194</v>
      </c>
    </row>
    <row r="2413" spans="1:4">
      <c r="A2413" t="s">
        <v>381</v>
      </c>
      <c r="B2413" t="s">
        <v>11</v>
      </c>
      <c r="C2413" t="s">
        <v>15</v>
      </c>
      <c r="D2413">
        <v>2914.5504999999998</v>
      </c>
    </row>
    <row r="2414" spans="1:4">
      <c r="A2414" t="s">
        <v>381</v>
      </c>
      <c r="B2414" t="s">
        <v>8</v>
      </c>
      <c r="C2414" t="s">
        <v>11</v>
      </c>
      <c r="D2414">
        <v>21880.81151</v>
      </c>
    </row>
    <row r="2415" spans="1:4">
      <c r="A2415" t="s">
        <v>381</v>
      </c>
      <c r="B2415" t="s">
        <v>678</v>
      </c>
      <c r="C2415" t="s">
        <v>7</v>
      </c>
      <c r="D2415">
        <v>36.183760200999998</v>
      </c>
    </row>
    <row r="2416" spans="1:4">
      <c r="A2416" t="s">
        <v>381</v>
      </c>
      <c r="B2416" t="s">
        <v>10</v>
      </c>
      <c r="C2416" t="s">
        <v>7</v>
      </c>
      <c r="D2416">
        <v>307.09772561900002</v>
      </c>
    </row>
    <row r="2417" spans="1:4">
      <c r="A2417" t="s">
        <v>381</v>
      </c>
      <c r="B2417" t="s">
        <v>7</v>
      </c>
      <c r="C2417" t="s">
        <v>8</v>
      </c>
      <c r="D2417">
        <v>343.28148582</v>
      </c>
    </row>
    <row r="2418" spans="1:4">
      <c r="A2418" t="s">
        <v>381</v>
      </c>
      <c r="B2418" t="s">
        <v>678</v>
      </c>
      <c r="C2418" t="s">
        <v>16</v>
      </c>
      <c r="D2418">
        <v>502.02925447600001</v>
      </c>
    </row>
    <row r="2419" spans="1:4">
      <c r="A2419" t="s">
        <v>381</v>
      </c>
      <c r="B2419" t="s">
        <v>10</v>
      </c>
      <c r="C2419" t="s">
        <v>16</v>
      </c>
      <c r="D2419">
        <v>28232.463739941999</v>
      </c>
    </row>
    <row r="2420" spans="1:4">
      <c r="A2420" t="s">
        <v>381</v>
      </c>
      <c r="B2420" t="s">
        <v>678</v>
      </c>
      <c r="C2420" t="s">
        <v>17</v>
      </c>
      <c r="D2420">
        <v>0</v>
      </c>
    </row>
    <row r="2421" spans="1:4">
      <c r="A2421" t="s">
        <v>381</v>
      </c>
      <c r="B2421" t="s">
        <v>10</v>
      </c>
      <c r="C2421" t="s">
        <v>17</v>
      </c>
      <c r="D2421">
        <v>2493.6060000000002</v>
      </c>
    </row>
    <row r="2422" spans="1:4">
      <c r="A2422" t="s">
        <v>381</v>
      </c>
      <c r="B2422" t="s">
        <v>17</v>
      </c>
      <c r="C2422" t="s">
        <v>16</v>
      </c>
      <c r="D2422">
        <v>2493.6060000000002</v>
      </c>
    </row>
    <row r="2423" spans="1:4">
      <c r="A2423" t="s">
        <v>381</v>
      </c>
      <c r="B2423" t="s">
        <v>14</v>
      </c>
      <c r="C2423" t="s">
        <v>678</v>
      </c>
      <c r="D2423">
        <v>3275.3180000000002</v>
      </c>
    </row>
    <row r="2424" spans="1:4">
      <c r="A2424" t="s">
        <v>381</v>
      </c>
      <c r="B2424" t="s">
        <v>14</v>
      </c>
      <c r="C2424" t="s">
        <v>10</v>
      </c>
      <c r="D2424">
        <v>47376.3</v>
      </c>
    </row>
    <row r="2425" spans="1:4">
      <c r="A2425" t="s">
        <v>381</v>
      </c>
      <c r="B2425" t="s">
        <v>6</v>
      </c>
      <c r="C2425" t="s">
        <v>14</v>
      </c>
      <c r="D2425">
        <v>50651.618000000002</v>
      </c>
    </row>
    <row r="2426" spans="1:4">
      <c r="A2426" t="s">
        <v>381</v>
      </c>
      <c r="B2426" t="s">
        <v>8</v>
      </c>
      <c r="C2426" t="s">
        <v>14</v>
      </c>
      <c r="D2426">
        <v>0</v>
      </c>
    </row>
    <row r="2427" spans="1:4">
      <c r="A2427" t="s">
        <v>381</v>
      </c>
      <c r="B2427" t="s">
        <v>9</v>
      </c>
      <c r="C2427" t="s">
        <v>678</v>
      </c>
      <c r="D2427">
        <v>2212.6334000000002</v>
      </c>
    </row>
    <row r="2428" spans="1:4">
      <c r="A2428" t="s">
        <v>381</v>
      </c>
      <c r="B2428" t="s">
        <v>9</v>
      </c>
      <c r="C2428" t="s">
        <v>10</v>
      </c>
      <c r="D2428">
        <v>1354.9670000000001</v>
      </c>
    </row>
    <row r="2429" spans="1:4">
      <c r="A2429" t="s">
        <v>381</v>
      </c>
      <c r="B2429" t="s">
        <v>6</v>
      </c>
      <c r="C2429" t="s">
        <v>9</v>
      </c>
      <c r="D2429">
        <v>3567.6003999999998</v>
      </c>
    </row>
    <row r="2430" spans="1:4">
      <c r="A2430" t="s">
        <v>381</v>
      </c>
      <c r="B2430" t="s">
        <v>13</v>
      </c>
      <c r="C2430" t="s">
        <v>678</v>
      </c>
      <c r="D2430">
        <v>1036.424</v>
      </c>
    </row>
    <row r="2431" spans="1:4">
      <c r="A2431" t="s">
        <v>381</v>
      </c>
      <c r="B2431" t="s">
        <v>13</v>
      </c>
      <c r="C2431" t="s">
        <v>10</v>
      </c>
      <c r="D2431">
        <v>38730.629999999997</v>
      </c>
    </row>
    <row r="2432" spans="1:4">
      <c r="A2432" t="s">
        <v>381</v>
      </c>
      <c r="B2432" t="s">
        <v>6</v>
      </c>
      <c r="C2432" t="s">
        <v>13</v>
      </c>
      <c r="D2432">
        <v>39767.053999999996</v>
      </c>
    </row>
    <row r="2433" spans="1:4">
      <c r="A2433" t="s">
        <v>381</v>
      </c>
      <c r="B2433" t="s">
        <v>8</v>
      </c>
      <c r="C2433" t="s">
        <v>678</v>
      </c>
      <c r="D2433">
        <v>-343.78841578800001</v>
      </c>
    </row>
    <row r="2434" spans="1:4">
      <c r="A2434" t="s">
        <v>381</v>
      </c>
      <c r="B2434" t="s">
        <v>8</v>
      </c>
      <c r="C2434" t="s">
        <v>10</v>
      </c>
      <c r="D2434">
        <v>1359.715465561</v>
      </c>
    </row>
    <row r="2435" spans="1:4">
      <c r="A2435" t="s">
        <v>381</v>
      </c>
      <c r="B2435" t="s">
        <v>12</v>
      </c>
      <c r="C2435" t="s">
        <v>678</v>
      </c>
      <c r="D2435">
        <v>233.25444672899999</v>
      </c>
    </row>
    <row r="2436" spans="1:4">
      <c r="A2436" t="s">
        <v>381</v>
      </c>
      <c r="B2436" t="s">
        <v>12</v>
      </c>
      <c r="C2436" t="s">
        <v>10</v>
      </c>
      <c r="D2436">
        <v>3449.0974222899999</v>
      </c>
    </row>
    <row r="2437" spans="1:4">
      <c r="A2437" t="s">
        <v>381</v>
      </c>
      <c r="B2437" t="s">
        <v>8</v>
      </c>
      <c r="C2437" t="s">
        <v>12</v>
      </c>
      <c r="D2437">
        <v>3682.3518690179999</v>
      </c>
    </row>
    <row r="2438" spans="1:4">
      <c r="A2438" t="s">
        <v>381</v>
      </c>
      <c r="B2438" t="s">
        <v>16</v>
      </c>
      <c r="C2438" t="s">
        <v>678</v>
      </c>
      <c r="D2438">
        <v>1729.9291858189999</v>
      </c>
    </row>
    <row r="2439" spans="1:4">
      <c r="A2439" t="s">
        <v>381</v>
      </c>
      <c r="B2439" t="s">
        <v>16</v>
      </c>
      <c r="C2439" t="s">
        <v>10</v>
      </c>
      <c r="D2439">
        <v>48464.723633533999</v>
      </c>
    </row>
    <row r="2440" spans="1:4">
      <c r="A2440" t="s">
        <v>381</v>
      </c>
      <c r="B2440" t="s">
        <v>790</v>
      </c>
      <c r="C2440" t="s">
        <v>678</v>
      </c>
      <c r="D2440">
        <v>0</v>
      </c>
    </row>
    <row r="2441" spans="1:4">
      <c r="A2441" t="s">
        <v>381</v>
      </c>
      <c r="B2441" t="s">
        <v>790</v>
      </c>
      <c r="C2441" t="s">
        <v>10</v>
      </c>
      <c r="D2441">
        <v>0</v>
      </c>
    </row>
    <row r="2442" spans="1:4">
      <c r="A2442" t="s">
        <v>381</v>
      </c>
      <c r="B2442" t="s">
        <v>8</v>
      </c>
      <c r="C2442" t="s">
        <v>790</v>
      </c>
      <c r="D2442">
        <v>0</v>
      </c>
    </row>
    <row r="2443" spans="1:4">
      <c r="A2443" t="s">
        <v>381</v>
      </c>
      <c r="B2443" t="s">
        <v>8</v>
      </c>
      <c r="C2443" t="s">
        <v>6</v>
      </c>
      <c r="D2443">
        <v>-2274.3064199999999</v>
      </c>
    </row>
    <row r="2444" spans="1:4">
      <c r="A2444" t="s">
        <v>381</v>
      </c>
      <c r="B2444" t="s">
        <v>15</v>
      </c>
      <c r="C2444" t="s">
        <v>6</v>
      </c>
      <c r="D2444">
        <v>-6562.5460000000003</v>
      </c>
    </row>
    <row r="2445" spans="1:4">
      <c r="A2445" t="s">
        <v>381</v>
      </c>
      <c r="B2445" t="s">
        <v>5</v>
      </c>
      <c r="C2445" t="s">
        <v>6</v>
      </c>
      <c r="D2445">
        <v>15746.79</v>
      </c>
    </row>
    <row r="2446" spans="1:4">
      <c r="A2446" t="s">
        <v>381</v>
      </c>
      <c r="B2446" t="s">
        <v>15</v>
      </c>
      <c r="C2446" t="s">
        <v>5</v>
      </c>
      <c r="D2446">
        <v>15746.79</v>
      </c>
    </row>
    <row r="2447" spans="1:4">
      <c r="A2447" t="s">
        <v>381</v>
      </c>
      <c r="B2447" t="s">
        <v>6</v>
      </c>
      <c r="C2447" t="s">
        <v>8</v>
      </c>
      <c r="D2447">
        <v>0</v>
      </c>
    </row>
    <row r="2448" spans="1:4">
      <c r="A2448" t="s">
        <v>381</v>
      </c>
      <c r="B2448" t="s">
        <v>15</v>
      </c>
      <c r="C2448" t="s">
        <v>16</v>
      </c>
      <c r="D2448">
        <v>18966.553824934999</v>
      </c>
    </row>
    <row r="2449" spans="1:4">
      <c r="A2449" t="s">
        <v>381</v>
      </c>
      <c r="B2449" t="s">
        <v>8</v>
      </c>
      <c r="C2449" t="s">
        <v>15</v>
      </c>
      <c r="D2449">
        <v>3.0730594E-2</v>
      </c>
    </row>
    <row r="2450" spans="1:4">
      <c r="A2450" t="s">
        <v>797</v>
      </c>
      <c r="B2450" t="s">
        <v>678</v>
      </c>
      <c r="C2450" t="s">
        <v>678</v>
      </c>
      <c r="D2450">
        <v>4074.2111</v>
      </c>
    </row>
    <row r="2451" spans="1:4">
      <c r="A2451" t="s">
        <v>797</v>
      </c>
      <c r="B2451" t="s">
        <v>10</v>
      </c>
      <c r="C2451" t="s">
        <v>678</v>
      </c>
      <c r="D2451">
        <v>8883.5130000000008</v>
      </c>
    </row>
    <row r="2452" spans="1:4">
      <c r="A2452" t="s">
        <v>797</v>
      </c>
      <c r="B2452" t="s">
        <v>678</v>
      </c>
      <c r="C2452" t="s">
        <v>10</v>
      </c>
      <c r="D2452">
        <v>12559.168</v>
      </c>
    </row>
    <row r="2453" spans="1:4">
      <c r="A2453" t="s">
        <v>797</v>
      </c>
      <c r="B2453" t="s">
        <v>10</v>
      </c>
      <c r="C2453" t="s">
        <v>10</v>
      </c>
      <c r="D2453">
        <v>151752.99</v>
      </c>
    </row>
    <row r="2454" spans="1:4">
      <c r="A2454" t="s">
        <v>797</v>
      </c>
      <c r="B2454" t="s">
        <v>11</v>
      </c>
      <c r="C2454" t="s">
        <v>678</v>
      </c>
      <c r="D2454">
        <v>892.62347952699997</v>
      </c>
    </row>
    <row r="2455" spans="1:4">
      <c r="A2455" t="s">
        <v>797</v>
      </c>
      <c r="B2455" t="s">
        <v>11</v>
      </c>
      <c r="C2455" t="s">
        <v>10</v>
      </c>
      <c r="D2455">
        <v>9432.2753155999999</v>
      </c>
    </row>
    <row r="2456" spans="1:4">
      <c r="A2456" t="s">
        <v>797</v>
      </c>
      <c r="B2456" t="s">
        <v>678</v>
      </c>
      <c r="C2456" t="s">
        <v>6</v>
      </c>
      <c r="D2456">
        <v>7729.0290999999997</v>
      </c>
    </row>
    <row r="2457" spans="1:4">
      <c r="A2457" t="s">
        <v>797</v>
      </c>
      <c r="B2457" t="s">
        <v>10</v>
      </c>
      <c r="C2457" t="s">
        <v>6</v>
      </c>
      <c r="D2457">
        <v>74709.98</v>
      </c>
    </row>
    <row r="2458" spans="1:4">
      <c r="A2458" t="s">
        <v>797</v>
      </c>
      <c r="B2458" t="s">
        <v>11</v>
      </c>
      <c r="C2458" t="s">
        <v>6</v>
      </c>
      <c r="D2458">
        <v>2342.3705708369998</v>
      </c>
    </row>
    <row r="2459" spans="1:4">
      <c r="A2459" t="s">
        <v>797</v>
      </c>
      <c r="B2459" t="s">
        <v>678</v>
      </c>
      <c r="C2459" t="s">
        <v>8</v>
      </c>
      <c r="D2459">
        <v>153.80105900000001</v>
      </c>
    </row>
    <row r="2460" spans="1:4">
      <c r="A2460" t="s">
        <v>797</v>
      </c>
      <c r="B2460" t="s">
        <v>10</v>
      </c>
      <c r="C2460" t="s">
        <v>8</v>
      </c>
      <c r="D2460">
        <v>24581.477999999999</v>
      </c>
    </row>
    <row r="2461" spans="1:4">
      <c r="A2461" t="s">
        <v>797</v>
      </c>
      <c r="B2461" t="s">
        <v>11</v>
      </c>
      <c r="C2461" t="s">
        <v>8</v>
      </c>
      <c r="D2461">
        <v>2.5549681999999998</v>
      </c>
    </row>
    <row r="2462" spans="1:4">
      <c r="A2462" t="s">
        <v>797</v>
      </c>
      <c r="B2462" t="s">
        <v>678</v>
      </c>
      <c r="C2462" t="s">
        <v>15</v>
      </c>
      <c r="D2462">
        <v>388.95460800000001</v>
      </c>
    </row>
    <row r="2463" spans="1:4">
      <c r="A2463" t="s">
        <v>797</v>
      </c>
      <c r="B2463" t="s">
        <v>10</v>
      </c>
      <c r="C2463" t="s">
        <v>15</v>
      </c>
      <c r="D2463">
        <v>29646.120999999999</v>
      </c>
    </row>
    <row r="2464" spans="1:4">
      <c r="A2464" t="s">
        <v>797</v>
      </c>
      <c r="B2464" t="s">
        <v>11</v>
      </c>
      <c r="C2464" t="s">
        <v>15</v>
      </c>
      <c r="D2464">
        <v>-3.135101315</v>
      </c>
    </row>
    <row r="2465" spans="1:4">
      <c r="A2465" t="s">
        <v>797</v>
      </c>
      <c r="B2465" t="s">
        <v>8</v>
      </c>
      <c r="C2465" t="s">
        <v>11</v>
      </c>
      <c r="D2465">
        <v>12666.68923285</v>
      </c>
    </row>
    <row r="2466" spans="1:4">
      <c r="A2466" t="s">
        <v>797</v>
      </c>
      <c r="B2466" t="s">
        <v>678</v>
      </c>
      <c r="C2466" t="s">
        <v>7</v>
      </c>
      <c r="D2466">
        <v>-0.605430833</v>
      </c>
    </row>
    <row r="2467" spans="1:4">
      <c r="A2467" t="s">
        <v>797</v>
      </c>
      <c r="B2467" t="s">
        <v>10</v>
      </c>
      <c r="C2467" t="s">
        <v>7</v>
      </c>
      <c r="D2467">
        <v>82.120672181000003</v>
      </c>
    </row>
    <row r="2468" spans="1:4">
      <c r="A2468" t="s">
        <v>797</v>
      </c>
      <c r="B2468" t="s">
        <v>7</v>
      </c>
      <c r="C2468" t="s">
        <v>8</v>
      </c>
      <c r="D2468">
        <v>81.515241348000004</v>
      </c>
    </row>
    <row r="2469" spans="1:4">
      <c r="A2469" t="s">
        <v>797</v>
      </c>
      <c r="B2469" t="s">
        <v>678</v>
      </c>
      <c r="C2469" t="s">
        <v>16</v>
      </c>
      <c r="D2469">
        <v>1179.8253405959999</v>
      </c>
    </row>
    <row r="2470" spans="1:4">
      <c r="A2470" t="s">
        <v>797</v>
      </c>
      <c r="B2470" t="s">
        <v>10</v>
      </c>
      <c r="C2470" t="s">
        <v>16</v>
      </c>
      <c r="D2470">
        <v>61609.516214000003</v>
      </c>
    </row>
    <row r="2471" spans="1:4">
      <c r="A2471" t="s">
        <v>797</v>
      </c>
      <c r="B2471" t="s">
        <v>678</v>
      </c>
      <c r="C2471" t="s">
        <v>17</v>
      </c>
      <c r="D2471">
        <v>0</v>
      </c>
    </row>
    <row r="2472" spans="1:4">
      <c r="A2472" t="s">
        <v>797</v>
      </c>
      <c r="B2472" t="s">
        <v>10</v>
      </c>
      <c r="C2472" t="s">
        <v>17</v>
      </c>
      <c r="D2472">
        <v>1706.6189999999999</v>
      </c>
    </row>
    <row r="2473" spans="1:4">
      <c r="A2473" t="s">
        <v>797</v>
      </c>
      <c r="B2473" t="s">
        <v>17</v>
      </c>
      <c r="C2473" t="s">
        <v>16</v>
      </c>
      <c r="D2473">
        <v>1706.6189999999999</v>
      </c>
    </row>
    <row r="2474" spans="1:4">
      <c r="A2474" t="s">
        <v>797</v>
      </c>
      <c r="B2474" t="s">
        <v>14</v>
      </c>
      <c r="C2474" t="s">
        <v>678</v>
      </c>
      <c r="D2474">
        <v>5073.6779999999999</v>
      </c>
    </row>
    <row r="2475" spans="1:4">
      <c r="A2475" t="s">
        <v>797</v>
      </c>
      <c r="B2475" t="s">
        <v>14</v>
      </c>
      <c r="C2475" t="s">
        <v>10</v>
      </c>
      <c r="D2475">
        <v>59730.84</v>
      </c>
    </row>
    <row r="2476" spans="1:4">
      <c r="A2476" t="s">
        <v>797</v>
      </c>
      <c r="B2476" t="s">
        <v>6</v>
      </c>
      <c r="C2476" t="s">
        <v>14</v>
      </c>
      <c r="D2476">
        <v>64804.517999999996</v>
      </c>
    </row>
    <row r="2477" spans="1:4">
      <c r="A2477" t="s">
        <v>797</v>
      </c>
      <c r="B2477" t="s">
        <v>8</v>
      </c>
      <c r="C2477" t="s">
        <v>14</v>
      </c>
      <c r="D2477">
        <v>0</v>
      </c>
    </row>
    <row r="2478" spans="1:4">
      <c r="A2478" t="s">
        <v>797</v>
      </c>
      <c r="B2478" t="s">
        <v>9</v>
      </c>
      <c r="C2478" t="s">
        <v>678</v>
      </c>
      <c r="D2478">
        <v>3409.7255</v>
      </c>
    </row>
    <row r="2479" spans="1:4">
      <c r="A2479" t="s">
        <v>797</v>
      </c>
      <c r="B2479" t="s">
        <v>9</v>
      </c>
      <c r="C2479" t="s">
        <v>10</v>
      </c>
      <c r="D2479">
        <v>1452.0039999999999</v>
      </c>
    </row>
    <row r="2480" spans="1:4">
      <c r="A2480" t="s">
        <v>797</v>
      </c>
      <c r="B2480" t="s">
        <v>6</v>
      </c>
      <c r="C2480" t="s">
        <v>9</v>
      </c>
      <c r="D2480">
        <v>4861.7295000000004</v>
      </c>
    </row>
    <row r="2481" spans="1:4">
      <c r="A2481" t="s">
        <v>797</v>
      </c>
      <c r="B2481" t="s">
        <v>13</v>
      </c>
      <c r="C2481" t="s">
        <v>678</v>
      </c>
      <c r="D2481">
        <v>1445.846</v>
      </c>
    </row>
    <row r="2482" spans="1:4">
      <c r="A2482" t="s">
        <v>797</v>
      </c>
      <c r="B2482" t="s">
        <v>13</v>
      </c>
      <c r="C2482" t="s">
        <v>10</v>
      </c>
      <c r="D2482">
        <v>38953.870000000003</v>
      </c>
    </row>
    <row r="2483" spans="1:4">
      <c r="A2483" t="s">
        <v>797</v>
      </c>
      <c r="B2483" t="s">
        <v>6</v>
      </c>
      <c r="C2483" t="s">
        <v>13</v>
      </c>
      <c r="D2483">
        <v>40399.716</v>
      </c>
    </row>
    <row r="2484" spans="1:4">
      <c r="A2484" t="s">
        <v>797</v>
      </c>
      <c r="B2484" t="s">
        <v>8</v>
      </c>
      <c r="C2484" t="s">
        <v>678</v>
      </c>
      <c r="D2484">
        <v>-113.504369764</v>
      </c>
    </row>
    <row r="2485" spans="1:4">
      <c r="A2485" t="s">
        <v>797</v>
      </c>
      <c r="B2485" t="s">
        <v>8</v>
      </c>
      <c r="C2485" t="s">
        <v>10</v>
      </c>
      <c r="D2485">
        <v>409.50757058099998</v>
      </c>
    </row>
    <row r="2486" spans="1:4">
      <c r="A2486" t="s">
        <v>797</v>
      </c>
      <c r="B2486" t="s">
        <v>12</v>
      </c>
      <c r="C2486" t="s">
        <v>678</v>
      </c>
      <c r="D2486">
        <v>164.83613404499999</v>
      </c>
    </row>
    <row r="2487" spans="1:4">
      <c r="A2487" t="s">
        <v>797</v>
      </c>
      <c r="B2487" t="s">
        <v>12</v>
      </c>
      <c r="C2487" t="s">
        <v>10</v>
      </c>
      <c r="D2487">
        <v>5476.6656834400001</v>
      </c>
    </row>
    <row r="2488" spans="1:4">
      <c r="A2488" t="s">
        <v>797</v>
      </c>
      <c r="B2488" t="s">
        <v>8</v>
      </c>
      <c r="C2488" t="s">
        <v>12</v>
      </c>
      <c r="D2488">
        <v>5641.5018174850002</v>
      </c>
    </row>
    <row r="2489" spans="1:4">
      <c r="A2489" t="s">
        <v>797</v>
      </c>
      <c r="B2489" t="s">
        <v>16</v>
      </c>
      <c r="C2489" t="s">
        <v>678</v>
      </c>
      <c r="D2489">
        <v>2253.4553152210001</v>
      </c>
    </row>
    <row r="2490" spans="1:4">
      <c r="A2490" t="s">
        <v>797</v>
      </c>
      <c r="B2490" t="s">
        <v>16</v>
      </c>
      <c r="C2490" t="s">
        <v>10</v>
      </c>
      <c r="D2490">
        <v>73205.018932263003</v>
      </c>
    </row>
    <row r="2491" spans="1:4">
      <c r="A2491" t="s">
        <v>797</v>
      </c>
      <c r="B2491" t="s">
        <v>790</v>
      </c>
      <c r="C2491" t="s">
        <v>678</v>
      </c>
      <c r="D2491">
        <v>0</v>
      </c>
    </row>
    <row r="2492" spans="1:4">
      <c r="A2492" t="s">
        <v>797</v>
      </c>
      <c r="B2492" t="s">
        <v>790</v>
      </c>
      <c r="C2492" t="s">
        <v>10</v>
      </c>
      <c r="D2492">
        <v>0</v>
      </c>
    </row>
    <row r="2493" spans="1:4">
      <c r="A2493" t="s">
        <v>797</v>
      </c>
      <c r="B2493" t="s">
        <v>8</v>
      </c>
      <c r="C2493" t="s">
        <v>790</v>
      </c>
      <c r="D2493">
        <v>0</v>
      </c>
    </row>
    <row r="2494" spans="1:4">
      <c r="A2494" t="s">
        <v>797</v>
      </c>
      <c r="B2494" t="s">
        <v>8</v>
      </c>
      <c r="C2494" t="s">
        <v>6</v>
      </c>
      <c r="D2494">
        <v>6215.1458291629997</v>
      </c>
    </row>
    <row r="2495" spans="1:4">
      <c r="A2495" t="s">
        <v>797</v>
      </c>
      <c r="B2495" t="s">
        <v>15</v>
      </c>
      <c r="C2495" t="s">
        <v>6</v>
      </c>
      <c r="D2495">
        <v>-5186.2020000000002</v>
      </c>
    </row>
    <row r="2496" spans="1:4">
      <c r="A2496" t="s">
        <v>797</v>
      </c>
      <c r="B2496" t="s">
        <v>5</v>
      </c>
      <c r="C2496" t="s">
        <v>6</v>
      </c>
      <c r="D2496">
        <v>24255.64</v>
      </c>
    </row>
    <row r="2497" spans="1:4">
      <c r="A2497" t="s">
        <v>797</v>
      </c>
      <c r="B2497" t="s">
        <v>15</v>
      </c>
      <c r="C2497" t="s">
        <v>5</v>
      </c>
      <c r="D2497">
        <v>24255.64</v>
      </c>
    </row>
    <row r="2498" spans="1:4">
      <c r="A2498" t="s">
        <v>797</v>
      </c>
      <c r="B2498" t="s">
        <v>6</v>
      </c>
      <c r="C2498" t="s">
        <v>8</v>
      </c>
      <c r="D2498">
        <v>0</v>
      </c>
    </row>
    <row r="2499" spans="1:4">
      <c r="A2499" t="s">
        <v>797</v>
      </c>
      <c r="B2499" t="s">
        <v>15</v>
      </c>
      <c r="C2499" t="s">
        <v>16</v>
      </c>
      <c r="D2499">
        <v>10962.513692888</v>
      </c>
    </row>
    <row r="2500" spans="1:4">
      <c r="A2500" t="s">
        <v>797</v>
      </c>
      <c r="B2500" t="s">
        <v>8</v>
      </c>
      <c r="C2500" t="s">
        <v>15</v>
      </c>
      <c r="D2500">
        <v>9.188234E-3</v>
      </c>
    </row>
    <row r="2501" spans="1:4">
      <c r="A2501" t="s">
        <v>798</v>
      </c>
      <c r="B2501" t="s">
        <v>678</v>
      </c>
      <c r="C2501" t="s">
        <v>678</v>
      </c>
      <c r="D2501">
        <v>5444.0627000000004</v>
      </c>
    </row>
    <row r="2502" spans="1:4">
      <c r="A2502" t="s">
        <v>798</v>
      </c>
      <c r="B2502" t="s">
        <v>10</v>
      </c>
      <c r="C2502" t="s">
        <v>678</v>
      </c>
      <c r="D2502">
        <v>14390.204</v>
      </c>
    </row>
    <row r="2503" spans="1:4">
      <c r="A2503" t="s">
        <v>798</v>
      </c>
      <c r="B2503" t="s">
        <v>678</v>
      </c>
      <c r="C2503" t="s">
        <v>10</v>
      </c>
      <c r="D2503">
        <v>25348.952000000001</v>
      </c>
    </row>
    <row r="2504" spans="1:4">
      <c r="A2504" t="s">
        <v>798</v>
      </c>
      <c r="B2504" t="s">
        <v>10</v>
      </c>
      <c r="C2504" t="s">
        <v>10</v>
      </c>
      <c r="D2504">
        <v>449996.89</v>
      </c>
    </row>
    <row r="2505" spans="1:4">
      <c r="A2505" t="s">
        <v>798</v>
      </c>
      <c r="B2505" t="s">
        <v>11</v>
      </c>
      <c r="C2505" t="s">
        <v>678</v>
      </c>
      <c r="D2505">
        <v>75.270940999999993</v>
      </c>
    </row>
    <row r="2506" spans="1:4">
      <c r="A2506" t="s">
        <v>798</v>
      </c>
      <c r="B2506" t="s">
        <v>11</v>
      </c>
      <c r="C2506" t="s">
        <v>10</v>
      </c>
      <c r="D2506">
        <v>3781.61841</v>
      </c>
    </row>
    <row r="2507" spans="1:4">
      <c r="A2507" t="s">
        <v>798</v>
      </c>
      <c r="B2507" t="s">
        <v>678</v>
      </c>
      <c r="C2507" t="s">
        <v>6</v>
      </c>
      <c r="D2507">
        <v>10169.968999999999</v>
      </c>
    </row>
    <row r="2508" spans="1:4">
      <c r="A2508" t="s">
        <v>798</v>
      </c>
      <c r="B2508" t="s">
        <v>10</v>
      </c>
      <c r="C2508" t="s">
        <v>6</v>
      </c>
      <c r="D2508">
        <v>327093.25</v>
      </c>
    </row>
    <row r="2509" spans="1:4">
      <c r="A2509" t="s">
        <v>798</v>
      </c>
      <c r="B2509" t="s">
        <v>11</v>
      </c>
      <c r="C2509" t="s">
        <v>6</v>
      </c>
      <c r="D2509">
        <v>25913.529190000001</v>
      </c>
    </row>
    <row r="2510" spans="1:4">
      <c r="A2510" t="s">
        <v>798</v>
      </c>
      <c r="B2510" t="s">
        <v>678</v>
      </c>
      <c r="C2510" t="s">
        <v>8</v>
      </c>
      <c r="D2510">
        <v>138.22924</v>
      </c>
    </row>
    <row r="2511" spans="1:4">
      <c r="A2511" t="s">
        <v>798</v>
      </c>
      <c r="B2511" t="s">
        <v>10</v>
      </c>
      <c r="C2511" t="s">
        <v>8</v>
      </c>
      <c r="D2511">
        <v>91741.41</v>
      </c>
    </row>
    <row r="2512" spans="1:4">
      <c r="A2512" t="s">
        <v>798</v>
      </c>
      <c r="B2512" t="s">
        <v>11</v>
      </c>
      <c r="C2512" t="s">
        <v>8</v>
      </c>
      <c r="D2512">
        <v>47.574991283999999</v>
      </c>
    </row>
    <row r="2513" spans="1:4">
      <c r="A2513" t="s">
        <v>798</v>
      </c>
      <c r="B2513" t="s">
        <v>678</v>
      </c>
      <c r="C2513" t="s">
        <v>15</v>
      </c>
      <c r="D2513">
        <v>458.92491999999999</v>
      </c>
    </row>
    <row r="2514" spans="1:4">
      <c r="A2514" t="s">
        <v>798</v>
      </c>
      <c r="B2514" t="s">
        <v>10</v>
      </c>
      <c r="C2514" t="s">
        <v>15</v>
      </c>
      <c r="D2514">
        <v>122283.67</v>
      </c>
    </row>
    <row r="2515" spans="1:4">
      <c r="A2515" t="s">
        <v>798</v>
      </c>
      <c r="B2515" t="s">
        <v>11</v>
      </c>
      <c r="C2515" t="s">
        <v>15</v>
      </c>
      <c r="D2515">
        <v>569.6411306</v>
      </c>
    </row>
    <row r="2516" spans="1:4">
      <c r="A2516" t="s">
        <v>798</v>
      </c>
      <c r="B2516" t="s">
        <v>8</v>
      </c>
      <c r="C2516" t="s">
        <v>11</v>
      </c>
      <c r="D2516">
        <v>30387.634662884</v>
      </c>
    </row>
    <row r="2517" spans="1:4">
      <c r="A2517" t="s">
        <v>798</v>
      </c>
      <c r="B2517" t="s">
        <v>678</v>
      </c>
      <c r="C2517" t="s">
        <v>7</v>
      </c>
      <c r="D2517">
        <v>0</v>
      </c>
    </row>
    <row r="2518" spans="1:4">
      <c r="A2518" t="s">
        <v>798</v>
      </c>
      <c r="B2518" t="s">
        <v>10</v>
      </c>
      <c r="C2518" t="s">
        <v>7</v>
      </c>
      <c r="D2518">
        <v>0</v>
      </c>
    </row>
    <row r="2519" spans="1:4">
      <c r="A2519" t="s">
        <v>798</v>
      </c>
      <c r="B2519" t="s">
        <v>7</v>
      </c>
      <c r="C2519" t="s">
        <v>8</v>
      </c>
      <c r="D2519">
        <v>0</v>
      </c>
    </row>
    <row r="2520" spans="1:4">
      <c r="A2520" t="s">
        <v>798</v>
      </c>
      <c r="B2520" t="s">
        <v>678</v>
      </c>
      <c r="C2520" t="s">
        <v>16</v>
      </c>
      <c r="D2520">
        <v>6574.2263681599998</v>
      </c>
    </row>
    <row r="2521" spans="1:4">
      <c r="A2521" t="s">
        <v>798</v>
      </c>
      <c r="B2521" t="s">
        <v>10</v>
      </c>
      <c r="C2521" t="s">
        <v>16</v>
      </c>
      <c r="D2521">
        <v>135100.94764</v>
      </c>
    </row>
    <row r="2522" spans="1:4">
      <c r="A2522" t="s">
        <v>798</v>
      </c>
      <c r="B2522" t="s">
        <v>678</v>
      </c>
      <c r="C2522" t="s">
        <v>17</v>
      </c>
      <c r="D2522">
        <v>0</v>
      </c>
    </row>
    <row r="2523" spans="1:4">
      <c r="A2523" t="s">
        <v>798</v>
      </c>
      <c r="B2523" t="s">
        <v>10</v>
      </c>
      <c r="C2523" t="s">
        <v>17</v>
      </c>
      <c r="D2523">
        <v>7827.2420000000002</v>
      </c>
    </row>
    <row r="2524" spans="1:4">
      <c r="A2524" t="s">
        <v>798</v>
      </c>
      <c r="B2524" t="s">
        <v>17</v>
      </c>
      <c r="C2524" t="s">
        <v>16</v>
      </c>
      <c r="D2524">
        <v>7827.2420000000002</v>
      </c>
    </row>
    <row r="2525" spans="1:4">
      <c r="A2525" t="s">
        <v>798</v>
      </c>
      <c r="B2525" t="s">
        <v>14</v>
      </c>
      <c r="C2525" t="s">
        <v>678</v>
      </c>
      <c r="D2525">
        <v>12341.61</v>
      </c>
    </row>
    <row r="2526" spans="1:4">
      <c r="A2526" t="s">
        <v>798</v>
      </c>
      <c r="B2526" t="s">
        <v>14</v>
      </c>
      <c r="C2526" t="s">
        <v>10</v>
      </c>
      <c r="D2526">
        <v>300378.7</v>
      </c>
    </row>
    <row r="2527" spans="1:4">
      <c r="A2527" t="s">
        <v>798</v>
      </c>
      <c r="B2527" t="s">
        <v>6</v>
      </c>
      <c r="C2527" t="s">
        <v>14</v>
      </c>
      <c r="D2527">
        <v>312720.31</v>
      </c>
    </row>
    <row r="2528" spans="1:4">
      <c r="A2528" t="s">
        <v>798</v>
      </c>
      <c r="B2528" t="s">
        <v>8</v>
      </c>
      <c r="C2528" t="s">
        <v>14</v>
      </c>
      <c r="D2528">
        <v>0</v>
      </c>
    </row>
    <row r="2529" spans="1:4">
      <c r="A2529" t="s">
        <v>798</v>
      </c>
      <c r="B2529" t="s">
        <v>9</v>
      </c>
      <c r="C2529" t="s">
        <v>678</v>
      </c>
      <c r="D2529">
        <v>6450.0814</v>
      </c>
    </row>
    <row r="2530" spans="1:4">
      <c r="A2530" t="s">
        <v>798</v>
      </c>
      <c r="B2530" t="s">
        <v>9</v>
      </c>
      <c r="C2530" t="s">
        <v>10</v>
      </c>
      <c r="D2530">
        <v>13131.37</v>
      </c>
    </row>
    <row r="2531" spans="1:4">
      <c r="A2531" t="s">
        <v>798</v>
      </c>
      <c r="B2531" t="s">
        <v>6</v>
      </c>
      <c r="C2531" t="s">
        <v>9</v>
      </c>
      <c r="D2531">
        <v>19581.451400000002</v>
      </c>
    </row>
    <row r="2532" spans="1:4">
      <c r="A2532" t="s">
        <v>798</v>
      </c>
      <c r="B2532" t="s">
        <v>13</v>
      </c>
      <c r="C2532" t="s">
        <v>678</v>
      </c>
      <c r="D2532">
        <v>3903.527</v>
      </c>
    </row>
    <row r="2533" spans="1:4">
      <c r="A2533" t="s">
        <v>798</v>
      </c>
      <c r="B2533" t="s">
        <v>13</v>
      </c>
      <c r="C2533" t="s">
        <v>10</v>
      </c>
      <c r="D2533">
        <v>187989.1</v>
      </c>
    </row>
    <row r="2534" spans="1:4">
      <c r="A2534" t="s">
        <v>798</v>
      </c>
      <c r="B2534" t="s">
        <v>6</v>
      </c>
      <c r="C2534" t="s">
        <v>13</v>
      </c>
      <c r="D2534">
        <v>191892.62700000001</v>
      </c>
    </row>
    <row r="2535" spans="1:4">
      <c r="A2535" t="s">
        <v>798</v>
      </c>
      <c r="B2535" t="s">
        <v>8</v>
      </c>
      <c r="C2535" t="s">
        <v>678</v>
      </c>
      <c r="D2535">
        <v>279.14572715999998</v>
      </c>
    </row>
    <row r="2536" spans="1:4">
      <c r="A2536" t="s">
        <v>798</v>
      </c>
      <c r="B2536" t="s">
        <v>8</v>
      </c>
      <c r="C2536" t="s">
        <v>10</v>
      </c>
      <c r="D2536">
        <v>30778.899225000001</v>
      </c>
    </row>
    <row r="2537" spans="1:4">
      <c r="A2537" t="s">
        <v>798</v>
      </c>
      <c r="B2537" t="s">
        <v>12</v>
      </c>
      <c r="C2537" t="s">
        <v>678</v>
      </c>
      <c r="D2537">
        <v>305.80602970899997</v>
      </c>
    </row>
    <row r="2538" spans="1:4">
      <c r="A2538" t="s">
        <v>798</v>
      </c>
      <c r="B2538" t="s">
        <v>12</v>
      </c>
      <c r="C2538" t="s">
        <v>10</v>
      </c>
      <c r="D2538">
        <v>11914.732813369999</v>
      </c>
    </row>
    <row r="2539" spans="1:4">
      <c r="A2539" t="s">
        <v>798</v>
      </c>
      <c r="B2539" t="s">
        <v>8</v>
      </c>
      <c r="C2539" t="s">
        <v>12</v>
      </c>
      <c r="D2539">
        <v>12220.538843079001</v>
      </c>
    </row>
    <row r="2540" spans="1:4">
      <c r="A2540" t="s">
        <v>798</v>
      </c>
      <c r="B2540" t="s">
        <v>16</v>
      </c>
      <c r="C2540" t="s">
        <v>678</v>
      </c>
      <c r="D2540">
        <v>4944.6574490319999</v>
      </c>
    </row>
    <row r="2541" spans="1:4">
      <c r="A2541" t="s">
        <v>798</v>
      </c>
      <c r="B2541" t="s">
        <v>16</v>
      </c>
      <c r="C2541" t="s">
        <v>10</v>
      </c>
      <c r="D2541">
        <v>125113.36442</v>
      </c>
    </row>
    <row r="2542" spans="1:4">
      <c r="A2542" t="s">
        <v>798</v>
      </c>
      <c r="B2542" t="s">
        <v>790</v>
      </c>
      <c r="C2542" t="s">
        <v>678</v>
      </c>
      <c r="D2542">
        <v>0</v>
      </c>
    </row>
    <row r="2543" spans="1:4">
      <c r="A2543" t="s">
        <v>798</v>
      </c>
      <c r="B2543" t="s">
        <v>790</v>
      </c>
      <c r="C2543" t="s">
        <v>10</v>
      </c>
      <c r="D2543">
        <v>0</v>
      </c>
    </row>
    <row r="2544" spans="1:4">
      <c r="A2544" t="s">
        <v>798</v>
      </c>
      <c r="B2544" t="s">
        <v>8</v>
      </c>
      <c r="C2544" t="s">
        <v>790</v>
      </c>
      <c r="D2544">
        <v>0</v>
      </c>
    </row>
    <row r="2545" spans="1:4">
      <c r="A2545" t="s">
        <v>798</v>
      </c>
      <c r="B2545" t="s">
        <v>8</v>
      </c>
      <c r="C2545" t="s">
        <v>6</v>
      </c>
      <c r="D2545">
        <v>18261.020209999999</v>
      </c>
    </row>
    <row r="2546" spans="1:4">
      <c r="A2546" t="s">
        <v>798</v>
      </c>
      <c r="B2546" t="s">
        <v>15</v>
      </c>
      <c r="C2546" t="s">
        <v>6</v>
      </c>
      <c r="D2546">
        <v>62271.38</v>
      </c>
    </row>
    <row r="2547" spans="1:4">
      <c r="A2547" t="s">
        <v>798</v>
      </c>
      <c r="B2547" t="s">
        <v>5</v>
      </c>
      <c r="C2547" t="s">
        <v>6</v>
      </c>
      <c r="D2547">
        <v>80485.240000000005</v>
      </c>
    </row>
    <row r="2548" spans="1:4">
      <c r="A2548" t="s">
        <v>798</v>
      </c>
      <c r="B2548" t="s">
        <v>15</v>
      </c>
      <c r="C2548" t="s">
        <v>5</v>
      </c>
      <c r="D2548">
        <v>80485.240000000005</v>
      </c>
    </row>
    <row r="2549" spans="1:4">
      <c r="A2549" t="s">
        <v>798</v>
      </c>
      <c r="B2549" t="s">
        <v>6</v>
      </c>
      <c r="C2549" t="s">
        <v>8</v>
      </c>
      <c r="D2549">
        <v>0</v>
      </c>
    </row>
    <row r="2550" spans="1:4">
      <c r="A2550" t="s">
        <v>798</v>
      </c>
      <c r="B2550" t="s">
        <v>16</v>
      </c>
      <c r="C2550" t="s">
        <v>15</v>
      </c>
      <c r="D2550">
        <v>19444.394130508001</v>
      </c>
    </row>
    <row r="2551" spans="1:4">
      <c r="A2551" t="s">
        <v>798</v>
      </c>
      <c r="B2551" t="s">
        <v>15</v>
      </c>
      <c r="C2551" t="s">
        <v>8</v>
      </c>
      <c r="D2551">
        <v>2.4436838999999998E-2</v>
      </c>
    </row>
    <row r="2552" spans="1:4">
      <c r="A2552" t="s">
        <v>43</v>
      </c>
      <c r="B2552" t="s">
        <v>678</v>
      </c>
      <c r="C2552" t="s">
        <v>678</v>
      </c>
      <c r="D2552">
        <v>6186.9552999999996</v>
      </c>
    </row>
    <row r="2553" spans="1:4">
      <c r="A2553" t="s">
        <v>43</v>
      </c>
      <c r="B2553" t="s">
        <v>10</v>
      </c>
      <c r="C2553" t="s">
        <v>678</v>
      </c>
      <c r="D2553">
        <v>7413.299</v>
      </c>
    </row>
    <row r="2554" spans="1:4">
      <c r="A2554" t="s">
        <v>43</v>
      </c>
      <c r="B2554" t="s">
        <v>678</v>
      </c>
      <c r="C2554" t="s">
        <v>10</v>
      </c>
      <c r="D2554">
        <v>10368.532999999999</v>
      </c>
    </row>
    <row r="2555" spans="1:4">
      <c r="A2555" t="s">
        <v>43</v>
      </c>
      <c r="B2555" t="s">
        <v>10</v>
      </c>
      <c r="C2555" t="s">
        <v>10</v>
      </c>
      <c r="D2555">
        <v>121745.04</v>
      </c>
    </row>
    <row r="2556" spans="1:4">
      <c r="A2556" t="s">
        <v>43</v>
      </c>
      <c r="B2556" t="s">
        <v>11</v>
      </c>
      <c r="C2556" t="s">
        <v>678</v>
      </c>
      <c r="D2556">
        <v>1655.2104052</v>
      </c>
    </row>
    <row r="2557" spans="1:4">
      <c r="A2557" t="s">
        <v>43</v>
      </c>
      <c r="B2557" t="s">
        <v>11</v>
      </c>
      <c r="C2557" t="s">
        <v>10</v>
      </c>
      <c r="D2557">
        <v>17212.259808399998</v>
      </c>
    </row>
    <row r="2558" spans="1:4">
      <c r="A2558" t="s">
        <v>43</v>
      </c>
      <c r="B2558" t="s">
        <v>678</v>
      </c>
      <c r="C2558" t="s">
        <v>6</v>
      </c>
      <c r="D2558">
        <v>21291.549900000002</v>
      </c>
    </row>
    <row r="2559" spans="1:4">
      <c r="A2559" t="s">
        <v>43</v>
      </c>
      <c r="B2559" t="s">
        <v>10</v>
      </c>
      <c r="C2559" t="s">
        <v>6</v>
      </c>
      <c r="D2559">
        <v>96789.073999999993</v>
      </c>
    </row>
    <row r="2560" spans="1:4">
      <c r="A2560" t="s">
        <v>43</v>
      </c>
      <c r="B2560" t="s">
        <v>11</v>
      </c>
      <c r="C2560" t="s">
        <v>6</v>
      </c>
      <c r="D2560">
        <v>11108.0402005</v>
      </c>
    </row>
    <row r="2561" spans="1:4">
      <c r="A2561" t="s">
        <v>43</v>
      </c>
      <c r="B2561" t="s">
        <v>678</v>
      </c>
      <c r="C2561" t="s">
        <v>8</v>
      </c>
      <c r="D2561">
        <v>277.6495486</v>
      </c>
    </row>
    <row r="2562" spans="1:4">
      <c r="A2562" t="s">
        <v>43</v>
      </c>
      <c r="B2562" t="s">
        <v>10</v>
      </c>
      <c r="C2562" t="s">
        <v>8</v>
      </c>
      <c r="D2562">
        <v>23000.419399999999</v>
      </c>
    </row>
    <row r="2563" spans="1:4">
      <c r="A2563" t="s">
        <v>43</v>
      </c>
      <c r="B2563" t="s">
        <v>11</v>
      </c>
      <c r="C2563" t="s">
        <v>8</v>
      </c>
      <c r="D2563">
        <v>6.0394033999999999E-2</v>
      </c>
    </row>
    <row r="2564" spans="1:4">
      <c r="A2564" t="s">
        <v>43</v>
      </c>
      <c r="B2564" t="s">
        <v>678</v>
      </c>
      <c r="C2564" t="s">
        <v>15</v>
      </c>
      <c r="D2564">
        <v>320.41736200000003</v>
      </c>
    </row>
    <row r="2565" spans="1:4">
      <c r="A2565" t="s">
        <v>43</v>
      </c>
      <c r="B2565" t="s">
        <v>10</v>
      </c>
      <c r="C2565" t="s">
        <v>15</v>
      </c>
      <c r="D2565">
        <v>49855.88</v>
      </c>
    </row>
    <row r="2566" spans="1:4">
      <c r="A2566" t="s">
        <v>43</v>
      </c>
      <c r="B2566" t="s">
        <v>11</v>
      </c>
      <c r="C2566" t="s">
        <v>15</v>
      </c>
      <c r="D2566">
        <v>-10.885453999999999</v>
      </c>
    </row>
    <row r="2567" spans="1:4">
      <c r="A2567" t="s">
        <v>43</v>
      </c>
      <c r="B2567" t="s">
        <v>8</v>
      </c>
      <c r="C2567" t="s">
        <v>11</v>
      </c>
      <c r="D2567">
        <v>29964.685354133999</v>
      </c>
    </row>
    <row r="2568" spans="1:4">
      <c r="A2568" t="s">
        <v>43</v>
      </c>
      <c r="B2568" t="s">
        <v>678</v>
      </c>
      <c r="C2568" t="s">
        <v>7</v>
      </c>
      <c r="D2568">
        <v>59.303013714000002</v>
      </c>
    </row>
    <row r="2569" spans="1:4">
      <c r="A2569" t="s">
        <v>43</v>
      </c>
      <c r="B2569" t="s">
        <v>10</v>
      </c>
      <c r="C2569" t="s">
        <v>7</v>
      </c>
      <c r="D2569">
        <v>287.60489943599998</v>
      </c>
    </row>
    <row r="2570" spans="1:4">
      <c r="A2570" t="s">
        <v>43</v>
      </c>
      <c r="B2570" t="s">
        <v>7</v>
      </c>
      <c r="C2570" t="s">
        <v>8</v>
      </c>
      <c r="D2570">
        <v>346.90791315000001</v>
      </c>
    </row>
    <row r="2571" spans="1:4">
      <c r="A2571" t="s">
        <v>43</v>
      </c>
      <c r="B2571" t="s">
        <v>678</v>
      </c>
      <c r="C2571" t="s">
        <v>16</v>
      </c>
      <c r="D2571">
        <v>2638.272960969</v>
      </c>
    </row>
    <row r="2572" spans="1:4">
      <c r="A2572" t="s">
        <v>43</v>
      </c>
      <c r="B2572" t="s">
        <v>10</v>
      </c>
      <c r="C2572" t="s">
        <v>16</v>
      </c>
      <c r="D2572">
        <v>28775.830612188001</v>
      </c>
    </row>
    <row r="2573" spans="1:4">
      <c r="A2573" t="s">
        <v>43</v>
      </c>
      <c r="B2573" t="s">
        <v>678</v>
      </c>
      <c r="C2573" t="s">
        <v>17</v>
      </c>
      <c r="D2573">
        <v>0</v>
      </c>
    </row>
    <row r="2574" spans="1:4">
      <c r="A2574" t="s">
        <v>43</v>
      </c>
      <c r="B2574" t="s">
        <v>10</v>
      </c>
      <c r="C2574" t="s">
        <v>17</v>
      </c>
      <c r="D2574">
        <v>2268.5630000000001</v>
      </c>
    </row>
    <row r="2575" spans="1:4">
      <c r="A2575" t="s">
        <v>43</v>
      </c>
      <c r="B2575" t="s">
        <v>17</v>
      </c>
      <c r="C2575" t="s">
        <v>16</v>
      </c>
      <c r="D2575">
        <v>2268.5630000000001</v>
      </c>
    </row>
    <row r="2576" spans="1:4">
      <c r="A2576" t="s">
        <v>43</v>
      </c>
      <c r="B2576" t="s">
        <v>14</v>
      </c>
      <c r="C2576" t="s">
        <v>678</v>
      </c>
      <c r="D2576">
        <v>11904.57</v>
      </c>
    </row>
    <row r="2577" spans="1:4">
      <c r="A2577" t="s">
        <v>43</v>
      </c>
      <c r="B2577" t="s">
        <v>14</v>
      </c>
      <c r="C2577" t="s">
        <v>10</v>
      </c>
      <c r="D2577">
        <v>40443.379999999997</v>
      </c>
    </row>
    <row r="2578" spans="1:4">
      <c r="A2578" t="s">
        <v>43</v>
      </c>
      <c r="B2578" t="s">
        <v>6</v>
      </c>
      <c r="C2578" t="s">
        <v>14</v>
      </c>
      <c r="D2578">
        <v>52347.95</v>
      </c>
    </row>
    <row r="2579" spans="1:4">
      <c r="A2579" t="s">
        <v>43</v>
      </c>
      <c r="B2579" t="s">
        <v>8</v>
      </c>
      <c r="C2579" t="s">
        <v>14</v>
      </c>
      <c r="D2579">
        <v>0</v>
      </c>
    </row>
    <row r="2580" spans="1:4">
      <c r="A2580" t="s">
        <v>43</v>
      </c>
      <c r="B2580" t="s">
        <v>9</v>
      </c>
      <c r="C2580" t="s">
        <v>678</v>
      </c>
      <c r="D2580">
        <v>8101.3278</v>
      </c>
    </row>
    <row r="2581" spans="1:4">
      <c r="A2581" t="s">
        <v>43</v>
      </c>
      <c r="B2581" t="s">
        <v>9</v>
      </c>
      <c r="C2581" t="s">
        <v>10</v>
      </c>
      <c r="D2581">
        <v>500.32979999999998</v>
      </c>
    </row>
    <row r="2582" spans="1:4">
      <c r="A2582" t="s">
        <v>43</v>
      </c>
      <c r="B2582" t="s">
        <v>6</v>
      </c>
      <c r="C2582" t="s">
        <v>9</v>
      </c>
      <c r="D2582">
        <v>8601.6576000000005</v>
      </c>
    </row>
    <row r="2583" spans="1:4">
      <c r="A2583" t="s">
        <v>43</v>
      </c>
      <c r="B2583" t="s">
        <v>13</v>
      </c>
      <c r="C2583" t="s">
        <v>678</v>
      </c>
      <c r="D2583">
        <v>3815.261</v>
      </c>
    </row>
    <row r="2584" spans="1:4">
      <c r="A2584" t="s">
        <v>43</v>
      </c>
      <c r="B2584" t="s">
        <v>13</v>
      </c>
      <c r="C2584" t="s">
        <v>10</v>
      </c>
      <c r="D2584">
        <v>64967.11</v>
      </c>
    </row>
    <row r="2585" spans="1:4">
      <c r="A2585" t="s">
        <v>43</v>
      </c>
      <c r="B2585" t="s">
        <v>6</v>
      </c>
      <c r="C2585" t="s">
        <v>13</v>
      </c>
      <c r="D2585">
        <v>68782.370999999999</v>
      </c>
    </row>
    <row r="2586" spans="1:4">
      <c r="A2586" t="s">
        <v>43</v>
      </c>
      <c r="B2586" t="s">
        <v>8</v>
      </c>
      <c r="C2586" t="s">
        <v>678</v>
      </c>
      <c r="D2586">
        <v>-1741.9462685169999</v>
      </c>
    </row>
    <row r="2587" spans="1:4">
      <c r="A2587" t="s">
        <v>43</v>
      </c>
      <c r="B2587" t="s">
        <v>8</v>
      </c>
      <c r="C2587" t="s">
        <v>10</v>
      </c>
      <c r="D2587">
        <v>10554.099903224</v>
      </c>
    </row>
    <row r="2588" spans="1:4">
      <c r="A2588" t="s">
        <v>43</v>
      </c>
      <c r="B2588" t="s">
        <v>12</v>
      </c>
      <c r="C2588" t="s">
        <v>678</v>
      </c>
      <c r="D2588">
        <v>633.97844322799995</v>
      </c>
    </row>
    <row r="2589" spans="1:4">
      <c r="A2589" t="s">
        <v>43</v>
      </c>
      <c r="B2589" t="s">
        <v>12</v>
      </c>
      <c r="C2589" t="s">
        <v>10</v>
      </c>
      <c r="D2589">
        <v>3846.4718751229998</v>
      </c>
    </row>
    <row r="2590" spans="1:4">
      <c r="A2590" t="s">
        <v>43</v>
      </c>
      <c r="B2590" t="s">
        <v>8</v>
      </c>
      <c r="C2590" t="s">
        <v>12</v>
      </c>
      <c r="D2590">
        <v>4480.4503183509996</v>
      </c>
    </row>
    <row r="2591" spans="1:4">
      <c r="A2591" t="s">
        <v>43</v>
      </c>
      <c r="B2591" t="s">
        <v>16</v>
      </c>
      <c r="C2591" t="s">
        <v>678</v>
      </c>
      <c r="D2591">
        <v>3174.0248140469998</v>
      </c>
    </row>
    <row r="2592" spans="1:4">
      <c r="A2592" t="s">
        <v>43</v>
      </c>
      <c r="B2592" t="s">
        <v>16</v>
      </c>
      <c r="C2592" t="s">
        <v>10</v>
      </c>
      <c r="D2592">
        <v>60498.489144779</v>
      </c>
    </row>
    <row r="2593" spans="1:4">
      <c r="A2593" t="s">
        <v>43</v>
      </c>
      <c r="B2593" t="s">
        <v>790</v>
      </c>
      <c r="C2593" t="s">
        <v>678</v>
      </c>
      <c r="D2593">
        <v>0</v>
      </c>
    </row>
    <row r="2594" spans="1:4">
      <c r="A2594" t="s">
        <v>43</v>
      </c>
      <c r="B2594" t="s">
        <v>790</v>
      </c>
      <c r="C2594" t="s">
        <v>10</v>
      </c>
      <c r="D2594">
        <v>0</v>
      </c>
    </row>
    <row r="2595" spans="1:4">
      <c r="A2595" t="s">
        <v>43</v>
      </c>
      <c r="B2595" t="s">
        <v>8</v>
      </c>
      <c r="C2595" t="s">
        <v>790</v>
      </c>
      <c r="D2595">
        <v>0</v>
      </c>
    </row>
    <row r="2596" spans="1:4">
      <c r="A2596" t="s">
        <v>43</v>
      </c>
      <c r="B2596" t="s">
        <v>8</v>
      </c>
      <c r="C2596" t="s">
        <v>6</v>
      </c>
      <c r="D2596">
        <v>-19632.2255</v>
      </c>
    </row>
    <row r="2597" spans="1:4">
      <c r="A2597" t="s">
        <v>43</v>
      </c>
      <c r="B2597" t="s">
        <v>15</v>
      </c>
      <c r="C2597" t="s">
        <v>6</v>
      </c>
      <c r="D2597">
        <v>-954.94</v>
      </c>
    </row>
    <row r="2598" spans="1:4">
      <c r="A2598" t="s">
        <v>43</v>
      </c>
      <c r="B2598" t="s">
        <v>5</v>
      </c>
      <c r="C2598" t="s">
        <v>6</v>
      </c>
      <c r="D2598">
        <v>21130.48</v>
      </c>
    </row>
    <row r="2599" spans="1:4">
      <c r="A2599" t="s">
        <v>43</v>
      </c>
      <c r="B2599" t="s">
        <v>15</v>
      </c>
      <c r="C2599" t="s">
        <v>5</v>
      </c>
      <c r="D2599">
        <v>21130.48</v>
      </c>
    </row>
    <row r="2600" spans="1:4">
      <c r="A2600" t="s">
        <v>43</v>
      </c>
      <c r="B2600" t="s">
        <v>6</v>
      </c>
      <c r="C2600" t="s">
        <v>8</v>
      </c>
      <c r="D2600">
        <v>0</v>
      </c>
    </row>
    <row r="2601" spans="1:4">
      <c r="A2601" t="s">
        <v>43</v>
      </c>
      <c r="B2601" t="s">
        <v>15</v>
      </c>
      <c r="C2601" t="s">
        <v>16</v>
      </c>
      <c r="D2601">
        <v>29989.84738567</v>
      </c>
    </row>
    <row r="2602" spans="1:4">
      <c r="A2602" t="s">
        <v>43</v>
      </c>
      <c r="B2602" t="s">
        <v>15</v>
      </c>
      <c r="C2602" t="s">
        <v>8</v>
      </c>
      <c r="D2602">
        <v>2.6550908000000002E-2</v>
      </c>
    </row>
    <row r="2603" spans="1:4">
      <c r="A2603" t="s">
        <v>799</v>
      </c>
      <c r="B2603" t="s">
        <v>678</v>
      </c>
      <c r="C2603" t="s">
        <v>678</v>
      </c>
      <c r="D2603">
        <v>4965.3608999999997</v>
      </c>
    </row>
    <row r="2604" spans="1:4">
      <c r="A2604" t="s">
        <v>799</v>
      </c>
      <c r="B2604" t="s">
        <v>10</v>
      </c>
      <c r="C2604" t="s">
        <v>678</v>
      </c>
      <c r="D2604">
        <v>12419.147999999999</v>
      </c>
    </row>
    <row r="2605" spans="1:4">
      <c r="A2605" t="s">
        <v>799</v>
      </c>
      <c r="B2605" t="s">
        <v>678</v>
      </c>
      <c r="C2605" t="s">
        <v>10</v>
      </c>
      <c r="D2605">
        <v>23814.084999999999</v>
      </c>
    </row>
    <row r="2606" spans="1:4">
      <c r="A2606" t="s">
        <v>799</v>
      </c>
      <c r="B2606" t="s">
        <v>10</v>
      </c>
      <c r="C2606" t="s">
        <v>10</v>
      </c>
      <c r="D2606">
        <v>416777.66</v>
      </c>
    </row>
    <row r="2607" spans="1:4">
      <c r="A2607" t="s">
        <v>799</v>
      </c>
      <c r="B2607" t="s">
        <v>11</v>
      </c>
      <c r="C2607" t="s">
        <v>678</v>
      </c>
      <c r="D2607">
        <v>1271.095478</v>
      </c>
    </row>
    <row r="2608" spans="1:4">
      <c r="A2608" t="s">
        <v>799</v>
      </c>
      <c r="B2608" t="s">
        <v>11</v>
      </c>
      <c r="C2608" t="s">
        <v>10</v>
      </c>
      <c r="D2608">
        <v>24965.772570000001</v>
      </c>
    </row>
    <row r="2609" spans="1:4">
      <c r="A2609" t="s">
        <v>799</v>
      </c>
      <c r="B2609" t="s">
        <v>678</v>
      </c>
      <c r="C2609" t="s">
        <v>6</v>
      </c>
      <c r="D2609">
        <v>11715.154</v>
      </c>
    </row>
    <row r="2610" spans="1:4">
      <c r="A2610" t="s">
        <v>799</v>
      </c>
      <c r="B2610" t="s">
        <v>10</v>
      </c>
      <c r="C2610" t="s">
        <v>6</v>
      </c>
      <c r="D2610">
        <v>237702.08</v>
      </c>
    </row>
    <row r="2611" spans="1:4">
      <c r="A2611" t="s">
        <v>799</v>
      </c>
      <c r="B2611" t="s">
        <v>11</v>
      </c>
      <c r="C2611" t="s">
        <v>6</v>
      </c>
      <c r="D2611">
        <v>24812.446110000001</v>
      </c>
    </row>
    <row r="2612" spans="1:4">
      <c r="A2612" t="s">
        <v>799</v>
      </c>
      <c r="B2612" t="s">
        <v>678</v>
      </c>
      <c r="C2612" t="s">
        <v>8</v>
      </c>
      <c r="D2612">
        <v>835.73348599999997</v>
      </c>
    </row>
    <row r="2613" spans="1:4">
      <c r="A2613" t="s">
        <v>799</v>
      </c>
      <c r="B2613" t="s">
        <v>10</v>
      </c>
      <c r="C2613" t="s">
        <v>8</v>
      </c>
      <c r="D2613">
        <v>129352.72900000001</v>
      </c>
    </row>
    <row r="2614" spans="1:4">
      <c r="A2614" t="s">
        <v>799</v>
      </c>
      <c r="B2614" t="s">
        <v>11</v>
      </c>
      <c r="C2614" t="s">
        <v>8</v>
      </c>
      <c r="D2614">
        <v>1231.252879289</v>
      </c>
    </row>
    <row r="2615" spans="1:4">
      <c r="A2615" t="s">
        <v>799</v>
      </c>
      <c r="B2615" t="s">
        <v>678</v>
      </c>
      <c r="C2615" t="s">
        <v>15</v>
      </c>
      <c r="D2615">
        <v>836.27610000000004</v>
      </c>
    </row>
    <row r="2616" spans="1:4">
      <c r="A2616" t="s">
        <v>799</v>
      </c>
      <c r="B2616" t="s">
        <v>10</v>
      </c>
      <c r="C2616" t="s">
        <v>15</v>
      </c>
      <c r="D2616">
        <v>107898.64</v>
      </c>
    </row>
    <row r="2617" spans="1:4">
      <c r="A2617" t="s">
        <v>799</v>
      </c>
      <c r="B2617" t="s">
        <v>11</v>
      </c>
      <c r="C2617" t="s">
        <v>15</v>
      </c>
      <c r="D2617">
        <v>4706.0477203999999</v>
      </c>
    </row>
    <row r="2618" spans="1:4">
      <c r="A2618" t="s">
        <v>799</v>
      </c>
      <c r="B2618" t="s">
        <v>8</v>
      </c>
      <c r="C2618" t="s">
        <v>11</v>
      </c>
      <c r="D2618">
        <v>56986.614757689</v>
      </c>
    </row>
    <row r="2619" spans="1:4">
      <c r="A2619" t="s">
        <v>799</v>
      </c>
      <c r="B2619" t="s">
        <v>678</v>
      </c>
      <c r="C2619" t="s">
        <v>7</v>
      </c>
      <c r="D2619">
        <v>0</v>
      </c>
    </row>
    <row r="2620" spans="1:4">
      <c r="A2620" t="s">
        <v>799</v>
      </c>
      <c r="B2620" t="s">
        <v>10</v>
      </c>
      <c r="C2620" t="s">
        <v>7</v>
      </c>
      <c r="D2620">
        <v>-8.5722128099999999</v>
      </c>
    </row>
    <row r="2621" spans="1:4">
      <c r="A2621" t="s">
        <v>799</v>
      </c>
      <c r="B2621" t="s">
        <v>7</v>
      </c>
      <c r="C2621" t="s">
        <v>8</v>
      </c>
      <c r="D2621">
        <v>-8.5722128099999999</v>
      </c>
    </row>
    <row r="2622" spans="1:4">
      <c r="A2622" t="s">
        <v>799</v>
      </c>
      <c r="B2622" t="s">
        <v>678</v>
      </c>
      <c r="C2622" t="s">
        <v>16</v>
      </c>
      <c r="D2622">
        <v>3030.5713115399999</v>
      </c>
    </row>
    <row r="2623" spans="1:4">
      <c r="A2623" t="s">
        <v>799</v>
      </c>
      <c r="B2623" t="s">
        <v>10</v>
      </c>
      <c r="C2623" t="s">
        <v>16</v>
      </c>
      <c r="D2623">
        <v>198876.80197</v>
      </c>
    </row>
    <row r="2624" spans="1:4">
      <c r="A2624" t="s">
        <v>799</v>
      </c>
      <c r="B2624" t="s">
        <v>678</v>
      </c>
      <c r="C2624" t="s">
        <v>17</v>
      </c>
      <c r="D2624">
        <v>0</v>
      </c>
    </row>
    <row r="2625" spans="1:4">
      <c r="A2625" t="s">
        <v>799</v>
      </c>
      <c r="B2625" t="s">
        <v>10</v>
      </c>
      <c r="C2625" t="s">
        <v>17</v>
      </c>
      <c r="D2625">
        <v>4458.9470000000001</v>
      </c>
    </row>
    <row r="2626" spans="1:4">
      <c r="A2626" t="s">
        <v>799</v>
      </c>
      <c r="B2626" t="s">
        <v>17</v>
      </c>
      <c r="C2626" t="s">
        <v>16</v>
      </c>
      <c r="D2626">
        <v>4458.9470000000001</v>
      </c>
    </row>
    <row r="2627" spans="1:4">
      <c r="A2627" t="s">
        <v>799</v>
      </c>
      <c r="B2627" t="s">
        <v>14</v>
      </c>
      <c r="C2627" t="s">
        <v>678</v>
      </c>
      <c r="D2627">
        <v>10248.89</v>
      </c>
    </row>
    <row r="2628" spans="1:4">
      <c r="A2628" t="s">
        <v>799</v>
      </c>
      <c r="B2628" t="s">
        <v>14</v>
      </c>
      <c r="C2628" t="s">
        <v>10</v>
      </c>
      <c r="D2628">
        <v>215164</v>
      </c>
    </row>
    <row r="2629" spans="1:4">
      <c r="A2629" t="s">
        <v>799</v>
      </c>
      <c r="B2629" t="s">
        <v>6</v>
      </c>
      <c r="C2629" t="s">
        <v>14</v>
      </c>
      <c r="D2629">
        <v>225412.89</v>
      </c>
    </row>
    <row r="2630" spans="1:4">
      <c r="A2630" t="s">
        <v>799</v>
      </c>
      <c r="B2630" t="s">
        <v>8</v>
      </c>
      <c r="C2630" t="s">
        <v>14</v>
      </c>
      <c r="D2630">
        <v>0</v>
      </c>
    </row>
    <row r="2631" spans="1:4">
      <c r="A2631" t="s">
        <v>799</v>
      </c>
      <c r="B2631" t="s">
        <v>9</v>
      </c>
      <c r="C2631" t="s">
        <v>678</v>
      </c>
      <c r="D2631">
        <v>3855.8458999999998</v>
      </c>
    </row>
    <row r="2632" spans="1:4">
      <c r="A2632" t="s">
        <v>799</v>
      </c>
      <c r="B2632" t="s">
        <v>9</v>
      </c>
      <c r="C2632" t="s">
        <v>10</v>
      </c>
      <c r="D2632">
        <v>28309.21</v>
      </c>
    </row>
    <row r="2633" spans="1:4">
      <c r="A2633" t="s">
        <v>799</v>
      </c>
      <c r="B2633" t="s">
        <v>6</v>
      </c>
      <c r="C2633" t="s">
        <v>9</v>
      </c>
      <c r="D2633">
        <v>32165.055899999999</v>
      </c>
    </row>
    <row r="2634" spans="1:4">
      <c r="A2634" t="s">
        <v>799</v>
      </c>
      <c r="B2634" t="s">
        <v>13</v>
      </c>
      <c r="C2634" t="s">
        <v>678</v>
      </c>
      <c r="D2634">
        <v>6502.9679999999998</v>
      </c>
    </row>
    <row r="2635" spans="1:4">
      <c r="A2635" t="s">
        <v>799</v>
      </c>
      <c r="B2635" t="s">
        <v>13</v>
      </c>
      <c r="C2635" t="s">
        <v>10</v>
      </c>
      <c r="D2635">
        <v>219537.3</v>
      </c>
    </row>
    <row r="2636" spans="1:4">
      <c r="A2636" t="s">
        <v>799</v>
      </c>
      <c r="B2636" t="s">
        <v>6</v>
      </c>
      <c r="C2636" t="s">
        <v>13</v>
      </c>
      <c r="D2636">
        <v>226040.26800000001</v>
      </c>
    </row>
    <row r="2637" spans="1:4">
      <c r="A2637" t="s">
        <v>799</v>
      </c>
      <c r="B2637" t="s">
        <v>8</v>
      </c>
      <c r="C2637" t="s">
        <v>678</v>
      </c>
      <c r="D2637">
        <v>423.36853353999999</v>
      </c>
    </row>
    <row r="2638" spans="1:4">
      <c r="A2638" t="s">
        <v>799</v>
      </c>
      <c r="B2638" t="s">
        <v>8</v>
      </c>
      <c r="C2638" t="s">
        <v>10</v>
      </c>
      <c r="D2638">
        <v>18450.62918819</v>
      </c>
    </row>
    <row r="2639" spans="1:4">
      <c r="A2639" t="s">
        <v>799</v>
      </c>
      <c r="B2639" t="s">
        <v>12</v>
      </c>
      <c r="C2639" t="s">
        <v>678</v>
      </c>
      <c r="D2639">
        <v>396.88760840100002</v>
      </c>
    </row>
    <row r="2640" spans="1:4">
      <c r="A2640" t="s">
        <v>799</v>
      </c>
      <c r="B2640" t="s">
        <v>12</v>
      </c>
      <c r="C2640" t="s">
        <v>10</v>
      </c>
      <c r="D2640">
        <v>12974.550388969999</v>
      </c>
    </row>
    <row r="2641" spans="1:4">
      <c r="A2641" t="s">
        <v>799</v>
      </c>
      <c r="B2641" t="s">
        <v>8</v>
      </c>
      <c r="C2641" t="s">
        <v>12</v>
      </c>
      <c r="D2641">
        <v>13371.437997371</v>
      </c>
    </row>
    <row r="2642" spans="1:4">
      <c r="A2642" t="s">
        <v>799</v>
      </c>
      <c r="B2642" t="s">
        <v>16</v>
      </c>
      <c r="C2642" t="s">
        <v>678</v>
      </c>
      <c r="D2642">
        <v>5113.6168244099999</v>
      </c>
    </row>
    <row r="2643" spans="1:4">
      <c r="A2643" t="s">
        <v>799</v>
      </c>
      <c r="B2643" t="s">
        <v>16</v>
      </c>
      <c r="C2643" t="s">
        <v>10</v>
      </c>
      <c r="D2643">
        <v>147484.22863999999</v>
      </c>
    </row>
    <row r="2644" spans="1:4">
      <c r="A2644" t="s">
        <v>799</v>
      </c>
      <c r="B2644" t="s">
        <v>790</v>
      </c>
      <c r="C2644" t="s">
        <v>678</v>
      </c>
      <c r="D2644">
        <v>0</v>
      </c>
    </row>
    <row r="2645" spans="1:4">
      <c r="A2645" t="s">
        <v>799</v>
      </c>
      <c r="B2645" t="s">
        <v>790</v>
      </c>
      <c r="C2645" t="s">
        <v>10</v>
      </c>
      <c r="D2645">
        <v>0</v>
      </c>
    </row>
    <row r="2646" spans="1:4">
      <c r="A2646" t="s">
        <v>799</v>
      </c>
      <c r="B2646" t="s">
        <v>8</v>
      </c>
      <c r="C2646" t="s">
        <v>790</v>
      </c>
      <c r="D2646">
        <v>0</v>
      </c>
    </row>
    <row r="2647" spans="1:4">
      <c r="A2647" t="s">
        <v>799</v>
      </c>
      <c r="B2647" t="s">
        <v>8</v>
      </c>
      <c r="C2647" t="s">
        <v>6</v>
      </c>
      <c r="D2647">
        <v>42179.123789999998</v>
      </c>
    </row>
    <row r="2648" spans="1:4">
      <c r="A2648" t="s">
        <v>799</v>
      </c>
      <c r="B2648" t="s">
        <v>15</v>
      </c>
      <c r="C2648" t="s">
        <v>6</v>
      </c>
      <c r="D2648">
        <v>72410.679999999993</v>
      </c>
    </row>
    <row r="2649" spans="1:4">
      <c r="A2649" t="s">
        <v>799</v>
      </c>
      <c r="B2649" t="s">
        <v>5</v>
      </c>
      <c r="C2649" t="s">
        <v>6</v>
      </c>
      <c r="D2649">
        <v>94798.73</v>
      </c>
    </row>
    <row r="2650" spans="1:4">
      <c r="A2650" t="s">
        <v>799</v>
      </c>
      <c r="B2650" t="s">
        <v>15</v>
      </c>
      <c r="C2650" t="s">
        <v>5</v>
      </c>
      <c r="D2650">
        <v>94798.73</v>
      </c>
    </row>
    <row r="2651" spans="1:4">
      <c r="A2651" t="s">
        <v>799</v>
      </c>
      <c r="B2651" t="s">
        <v>6</v>
      </c>
      <c r="C2651" t="s">
        <v>8</v>
      </c>
      <c r="D2651">
        <v>0</v>
      </c>
    </row>
    <row r="2652" spans="1:4">
      <c r="A2652" t="s">
        <v>799</v>
      </c>
      <c r="B2652" t="s">
        <v>16</v>
      </c>
      <c r="C2652" t="s">
        <v>15</v>
      </c>
      <c r="D2652">
        <v>53768.474818249997</v>
      </c>
    </row>
    <row r="2653" spans="1:4">
      <c r="A2653" t="s">
        <v>799</v>
      </c>
      <c r="B2653" t="s">
        <v>15</v>
      </c>
      <c r="C2653" t="s">
        <v>8</v>
      </c>
      <c r="D2653">
        <v>3.1114310999999999E-2</v>
      </c>
    </row>
    <row r="2654" spans="1:4">
      <c r="A2654" t="s">
        <v>34</v>
      </c>
      <c r="B2654" t="s">
        <v>678</v>
      </c>
      <c r="C2654" t="s">
        <v>678</v>
      </c>
      <c r="D2654">
        <v>876.06312000000003</v>
      </c>
    </row>
    <row r="2655" spans="1:4">
      <c r="A2655" t="s">
        <v>34</v>
      </c>
      <c r="B2655" t="s">
        <v>10</v>
      </c>
      <c r="C2655" t="s">
        <v>678</v>
      </c>
      <c r="D2655">
        <v>2503.7062999999998</v>
      </c>
    </row>
    <row r="2656" spans="1:4">
      <c r="A2656" t="s">
        <v>34</v>
      </c>
      <c r="B2656" t="s">
        <v>678</v>
      </c>
      <c r="C2656" t="s">
        <v>10</v>
      </c>
      <c r="D2656">
        <v>3066.0374000000002</v>
      </c>
    </row>
    <row r="2657" spans="1:4">
      <c r="A2657" t="s">
        <v>34</v>
      </c>
      <c r="B2657" t="s">
        <v>10</v>
      </c>
      <c r="C2657" t="s">
        <v>10</v>
      </c>
      <c r="D2657">
        <v>32269.184000000001</v>
      </c>
    </row>
    <row r="2658" spans="1:4">
      <c r="A2658" t="s">
        <v>34</v>
      </c>
      <c r="B2658" t="s">
        <v>11</v>
      </c>
      <c r="C2658" t="s">
        <v>678</v>
      </c>
      <c r="D2658">
        <v>229.77001200000001</v>
      </c>
    </row>
    <row r="2659" spans="1:4">
      <c r="A2659" t="s">
        <v>34</v>
      </c>
      <c r="B2659" t="s">
        <v>11</v>
      </c>
      <c r="C2659" t="s">
        <v>10</v>
      </c>
      <c r="D2659">
        <v>2738.32512</v>
      </c>
    </row>
    <row r="2660" spans="1:4">
      <c r="A2660" t="s">
        <v>34</v>
      </c>
      <c r="B2660" t="s">
        <v>678</v>
      </c>
      <c r="C2660" t="s">
        <v>6</v>
      </c>
      <c r="D2660">
        <v>5366.5241999999998</v>
      </c>
    </row>
    <row r="2661" spans="1:4">
      <c r="A2661" t="s">
        <v>34</v>
      </c>
      <c r="B2661" t="s">
        <v>10</v>
      </c>
      <c r="C2661" t="s">
        <v>6</v>
      </c>
      <c r="D2661">
        <v>16687.34</v>
      </c>
    </row>
    <row r="2662" spans="1:4">
      <c r="A2662" t="s">
        <v>34</v>
      </c>
      <c r="B2662" t="s">
        <v>11</v>
      </c>
      <c r="C2662" t="s">
        <v>6</v>
      </c>
      <c r="D2662">
        <v>957.71096</v>
      </c>
    </row>
    <row r="2663" spans="1:4">
      <c r="A2663" t="s">
        <v>34</v>
      </c>
      <c r="B2663" t="s">
        <v>678</v>
      </c>
      <c r="C2663" t="s">
        <v>8</v>
      </c>
      <c r="D2663">
        <v>43.231839000000001</v>
      </c>
    </row>
    <row r="2664" spans="1:4">
      <c r="A2664" t="s">
        <v>34</v>
      </c>
      <c r="B2664" t="s">
        <v>10</v>
      </c>
      <c r="C2664" t="s">
        <v>8</v>
      </c>
      <c r="D2664">
        <v>5964.1256000000003</v>
      </c>
    </row>
    <row r="2665" spans="1:4">
      <c r="A2665" t="s">
        <v>34</v>
      </c>
      <c r="B2665" t="s">
        <v>11</v>
      </c>
      <c r="C2665" t="s">
        <v>8</v>
      </c>
      <c r="D2665">
        <v>-2.6305877440000001</v>
      </c>
    </row>
    <row r="2666" spans="1:4">
      <c r="A2666" t="s">
        <v>34</v>
      </c>
      <c r="B2666" t="s">
        <v>678</v>
      </c>
      <c r="C2666" t="s">
        <v>15</v>
      </c>
      <c r="D2666">
        <v>206.05553</v>
      </c>
    </row>
    <row r="2667" spans="1:4">
      <c r="A2667" t="s">
        <v>34</v>
      </c>
      <c r="B2667" t="s">
        <v>10</v>
      </c>
      <c r="C2667" t="s">
        <v>15</v>
      </c>
      <c r="D2667">
        <v>6728.1120000000001</v>
      </c>
    </row>
    <row r="2668" spans="1:4">
      <c r="A2668" t="s">
        <v>34</v>
      </c>
      <c r="B2668" t="s">
        <v>11</v>
      </c>
      <c r="C2668" t="s">
        <v>15</v>
      </c>
      <c r="D2668">
        <v>0.43832025800000002</v>
      </c>
    </row>
    <row r="2669" spans="1:4">
      <c r="A2669" t="s">
        <v>34</v>
      </c>
      <c r="B2669" t="s">
        <v>8</v>
      </c>
      <c r="C2669" t="s">
        <v>11</v>
      </c>
      <c r="D2669">
        <v>3923.613824514</v>
      </c>
    </row>
    <row r="2670" spans="1:4">
      <c r="A2670" t="s">
        <v>34</v>
      </c>
      <c r="B2670" t="s">
        <v>678</v>
      </c>
      <c r="C2670" t="s">
        <v>7</v>
      </c>
      <c r="D2670">
        <v>0</v>
      </c>
    </row>
    <row r="2671" spans="1:4">
      <c r="A2671" t="s">
        <v>34</v>
      </c>
      <c r="B2671" t="s">
        <v>10</v>
      </c>
      <c r="C2671" t="s">
        <v>7</v>
      </c>
      <c r="D2671">
        <v>0</v>
      </c>
    </row>
    <row r="2672" spans="1:4">
      <c r="A2672" t="s">
        <v>34</v>
      </c>
      <c r="B2672" t="s">
        <v>7</v>
      </c>
      <c r="C2672" t="s">
        <v>8</v>
      </c>
      <c r="D2672">
        <v>0</v>
      </c>
    </row>
    <row r="2673" spans="1:4">
      <c r="A2673" t="s">
        <v>34</v>
      </c>
      <c r="B2673" t="s">
        <v>678</v>
      </c>
      <c r="C2673" t="s">
        <v>16</v>
      </c>
      <c r="D2673">
        <v>548.80202360800001</v>
      </c>
    </row>
    <row r="2674" spans="1:4">
      <c r="A2674" t="s">
        <v>34</v>
      </c>
      <c r="B2674" t="s">
        <v>10</v>
      </c>
      <c r="C2674" t="s">
        <v>16</v>
      </c>
      <c r="D2674">
        <v>7226.9534581500002</v>
      </c>
    </row>
    <row r="2675" spans="1:4">
      <c r="A2675" t="s">
        <v>34</v>
      </c>
      <c r="B2675" t="s">
        <v>678</v>
      </c>
      <c r="C2675" t="s">
        <v>17</v>
      </c>
      <c r="D2675">
        <v>0</v>
      </c>
    </row>
    <row r="2676" spans="1:4">
      <c r="A2676" t="s">
        <v>34</v>
      </c>
      <c r="B2676" t="s">
        <v>10</v>
      </c>
      <c r="C2676" t="s">
        <v>17</v>
      </c>
      <c r="D2676">
        <v>325.57530000000003</v>
      </c>
    </row>
    <row r="2677" spans="1:4">
      <c r="A2677" t="s">
        <v>34</v>
      </c>
      <c r="B2677" t="s">
        <v>17</v>
      </c>
      <c r="C2677" t="s">
        <v>16</v>
      </c>
      <c r="D2677">
        <v>325.57530000000003</v>
      </c>
    </row>
    <row r="2678" spans="1:4">
      <c r="A2678" t="s">
        <v>34</v>
      </c>
      <c r="B2678" t="s">
        <v>14</v>
      </c>
      <c r="C2678" t="s">
        <v>678</v>
      </c>
      <c r="D2678">
        <v>3113.9189999999999</v>
      </c>
    </row>
    <row r="2679" spans="1:4">
      <c r="A2679" t="s">
        <v>34</v>
      </c>
      <c r="B2679" t="s">
        <v>14</v>
      </c>
      <c r="C2679" t="s">
        <v>10</v>
      </c>
      <c r="D2679">
        <v>11040.69</v>
      </c>
    </row>
    <row r="2680" spans="1:4">
      <c r="A2680" t="s">
        <v>34</v>
      </c>
      <c r="B2680" t="s">
        <v>6</v>
      </c>
      <c r="C2680" t="s">
        <v>14</v>
      </c>
      <c r="D2680">
        <v>14154.609</v>
      </c>
    </row>
    <row r="2681" spans="1:4">
      <c r="A2681" t="s">
        <v>34</v>
      </c>
      <c r="B2681" t="s">
        <v>8</v>
      </c>
      <c r="C2681" t="s">
        <v>14</v>
      </c>
      <c r="D2681">
        <v>0</v>
      </c>
    </row>
    <row r="2682" spans="1:4">
      <c r="A2682" t="s">
        <v>34</v>
      </c>
      <c r="B2682" t="s">
        <v>9</v>
      </c>
      <c r="C2682" t="s">
        <v>678</v>
      </c>
      <c r="D2682">
        <v>658.78470000000004</v>
      </c>
    </row>
    <row r="2683" spans="1:4">
      <c r="A2683" t="s">
        <v>34</v>
      </c>
      <c r="B2683" t="s">
        <v>9</v>
      </c>
      <c r="C2683" t="s">
        <v>10</v>
      </c>
      <c r="D2683">
        <v>110.6395</v>
      </c>
    </row>
    <row r="2684" spans="1:4">
      <c r="A2684" t="s">
        <v>34</v>
      </c>
      <c r="B2684" t="s">
        <v>6</v>
      </c>
      <c r="C2684" t="s">
        <v>9</v>
      </c>
      <c r="D2684">
        <v>769.42420000000004</v>
      </c>
    </row>
    <row r="2685" spans="1:4">
      <c r="A2685" t="s">
        <v>34</v>
      </c>
      <c r="B2685" t="s">
        <v>13</v>
      </c>
      <c r="C2685" t="s">
        <v>678</v>
      </c>
      <c r="D2685">
        <v>1801.0440000000001</v>
      </c>
    </row>
    <row r="2686" spans="1:4">
      <c r="A2686" t="s">
        <v>34</v>
      </c>
      <c r="B2686" t="s">
        <v>13</v>
      </c>
      <c r="C2686" t="s">
        <v>10</v>
      </c>
      <c r="D2686">
        <v>10331.41</v>
      </c>
    </row>
    <row r="2687" spans="1:4">
      <c r="A2687" t="s">
        <v>34</v>
      </c>
      <c r="B2687" t="s">
        <v>6</v>
      </c>
      <c r="C2687" t="s">
        <v>13</v>
      </c>
      <c r="D2687">
        <v>12132.454</v>
      </c>
    </row>
    <row r="2688" spans="1:4">
      <c r="A2688" t="s">
        <v>34</v>
      </c>
      <c r="B2688" t="s">
        <v>8</v>
      </c>
      <c r="C2688" t="s">
        <v>678</v>
      </c>
      <c r="D2688">
        <v>4.0160800000000002E-4</v>
      </c>
    </row>
    <row r="2689" spans="1:4">
      <c r="A2689" t="s">
        <v>34</v>
      </c>
      <c r="B2689" t="s">
        <v>8</v>
      </c>
      <c r="C2689" t="s">
        <v>10</v>
      </c>
      <c r="D2689">
        <v>-9.2618500000000003E-3</v>
      </c>
    </row>
    <row r="2690" spans="1:4">
      <c r="A2690" t="s">
        <v>34</v>
      </c>
      <c r="B2690" t="s">
        <v>12</v>
      </c>
      <c r="C2690" t="s">
        <v>678</v>
      </c>
      <c r="D2690">
        <v>58.544559513999999</v>
      </c>
    </row>
    <row r="2691" spans="1:4">
      <c r="A2691" t="s">
        <v>34</v>
      </c>
      <c r="B2691" t="s">
        <v>12</v>
      </c>
      <c r="C2691" t="s">
        <v>10</v>
      </c>
      <c r="D2691">
        <v>1642.744767895</v>
      </c>
    </row>
    <row r="2692" spans="1:4">
      <c r="A2692" t="s">
        <v>34</v>
      </c>
      <c r="B2692" t="s">
        <v>8</v>
      </c>
      <c r="C2692" t="s">
        <v>12</v>
      </c>
      <c r="D2692">
        <v>1701.289327409</v>
      </c>
    </row>
    <row r="2693" spans="1:4">
      <c r="A2693" t="s">
        <v>34</v>
      </c>
      <c r="B2693" t="s">
        <v>16</v>
      </c>
      <c r="C2693" t="s">
        <v>678</v>
      </c>
      <c r="D2693">
        <v>864.88207921900005</v>
      </c>
    </row>
    <row r="2694" spans="1:4">
      <c r="A2694" t="s">
        <v>34</v>
      </c>
      <c r="B2694" t="s">
        <v>16</v>
      </c>
      <c r="C2694" t="s">
        <v>10</v>
      </c>
      <c r="D2694">
        <v>10505.976624941</v>
      </c>
    </row>
    <row r="2695" spans="1:4">
      <c r="A2695" t="s">
        <v>34</v>
      </c>
      <c r="B2695" t="s">
        <v>790</v>
      </c>
      <c r="C2695" t="s">
        <v>678</v>
      </c>
      <c r="D2695">
        <v>0</v>
      </c>
    </row>
    <row r="2696" spans="1:4">
      <c r="A2696" t="s">
        <v>34</v>
      </c>
      <c r="B2696" t="s">
        <v>790</v>
      </c>
      <c r="C2696" t="s">
        <v>10</v>
      </c>
      <c r="D2696">
        <v>0</v>
      </c>
    </row>
    <row r="2697" spans="1:4">
      <c r="A2697" t="s">
        <v>34</v>
      </c>
      <c r="B2697" t="s">
        <v>8</v>
      </c>
      <c r="C2697" t="s">
        <v>790</v>
      </c>
      <c r="D2697">
        <v>0</v>
      </c>
    </row>
    <row r="2698" spans="1:4">
      <c r="A2698" t="s">
        <v>34</v>
      </c>
      <c r="B2698" t="s">
        <v>8</v>
      </c>
      <c r="C2698" t="s">
        <v>6</v>
      </c>
      <c r="D2698">
        <v>379.83184999999997</v>
      </c>
    </row>
    <row r="2699" spans="1:4">
      <c r="A2699" t="s">
        <v>34</v>
      </c>
      <c r="B2699" t="s">
        <v>15</v>
      </c>
      <c r="C2699" t="s">
        <v>6</v>
      </c>
      <c r="D2699">
        <v>67.343190000000007</v>
      </c>
    </row>
    <row r="2700" spans="1:4">
      <c r="A2700" t="s">
        <v>34</v>
      </c>
      <c r="B2700" t="s">
        <v>5</v>
      </c>
      <c r="C2700" t="s">
        <v>6</v>
      </c>
      <c r="D2700">
        <v>3597.7370000000001</v>
      </c>
    </row>
    <row r="2701" spans="1:4">
      <c r="A2701" t="s">
        <v>34</v>
      </c>
      <c r="B2701" t="s">
        <v>15</v>
      </c>
      <c r="C2701" t="s">
        <v>5</v>
      </c>
      <c r="D2701">
        <v>3597.7370000000001</v>
      </c>
    </row>
    <row r="2702" spans="1:4">
      <c r="A2702" t="s">
        <v>34</v>
      </c>
      <c r="B2702" t="s">
        <v>6</v>
      </c>
      <c r="C2702" t="s">
        <v>8</v>
      </c>
      <c r="D2702">
        <v>0</v>
      </c>
    </row>
    <row r="2703" spans="1:4">
      <c r="A2703" t="s">
        <v>34</v>
      </c>
      <c r="B2703" t="s">
        <v>15</v>
      </c>
      <c r="C2703" t="s">
        <v>16</v>
      </c>
      <c r="D2703">
        <v>3269.5279224020001</v>
      </c>
    </row>
    <row r="2704" spans="1:4">
      <c r="A2704" t="s">
        <v>34</v>
      </c>
      <c r="B2704" t="s">
        <v>8</v>
      </c>
      <c r="C2704" t="s">
        <v>15</v>
      </c>
      <c r="D2704">
        <v>7.0957500000000005E-4</v>
      </c>
    </row>
    <row r="2705" spans="1:4">
      <c r="A2705" t="s">
        <v>800</v>
      </c>
      <c r="B2705" t="s">
        <v>678</v>
      </c>
      <c r="C2705" t="s">
        <v>678</v>
      </c>
      <c r="D2705">
        <v>3935.9924000000001</v>
      </c>
    </row>
    <row r="2706" spans="1:4">
      <c r="A2706" t="s">
        <v>800</v>
      </c>
      <c r="B2706" t="s">
        <v>10</v>
      </c>
      <c r="C2706" t="s">
        <v>678</v>
      </c>
      <c r="D2706">
        <v>10356.058999999999</v>
      </c>
    </row>
    <row r="2707" spans="1:4">
      <c r="A2707" t="s">
        <v>800</v>
      </c>
      <c r="B2707" t="s">
        <v>678</v>
      </c>
      <c r="C2707" t="s">
        <v>10</v>
      </c>
      <c r="D2707">
        <v>12428.540999999999</v>
      </c>
    </row>
    <row r="2708" spans="1:4">
      <c r="A2708" t="s">
        <v>800</v>
      </c>
      <c r="B2708" t="s">
        <v>10</v>
      </c>
      <c r="C2708" t="s">
        <v>10</v>
      </c>
      <c r="D2708">
        <v>144713.32999999999</v>
      </c>
    </row>
    <row r="2709" spans="1:4">
      <c r="A2709" t="s">
        <v>800</v>
      </c>
      <c r="B2709" t="s">
        <v>11</v>
      </c>
      <c r="C2709" t="s">
        <v>678</v>
      </c>
      <c r="D2709">
        <v>1022.184244</v>
      </c>
    </row>
    <row r="2710" spans="1:4">
      <c r="A2710" t="s">
        <v>800</v>
      </c>
      <c r="B2710" t="s">
        <v>11</v>
      </c>
      <c r="C2710" t="s">
        <v>10</v>
      </c>
      <c r="D2710">
        <v>12747.8837</v>
      </c>
    </row>
    <row r="2711" spans="1:4">
      <c r="A2711" t="s">
        <v>800</v>
      </c>
      <c r="B2711" t="s">
        <v>678</v>
      </c>
      <c r="C2711" t="s">
        <v>6</v>
      </c>
      <c r="D2711">
        <v>26303.605</v>
      </c>
    </row>
    <row r="2712" spans="1:4">
      <c r="A2712" t="s">
        <v>800</v>
      </c>
      <c r="B2712" t="s">
        <v>10</v>
      </c>
      <c r="C2712" t="s">
        <v>6</v>
      </c>
      <c r="D2712">
        <v>82917.440000000002</v>
      </c>
    </row>
    <row r="2713" spans="1:4">
      <c r="A2713" t="s">
        <v>800</v>
      </c>
      <c r="B2713" t="s">
        <v>11</v>
      </c>
      <c r="C2713" t="s">
        <v>6</v>
      </c>
      <c r="D2713">
        <v>4667.2875999999997</v>
      </c>
    </row>
    <row r="2714" spans="1:4">
      <c r="A2714" t="s">
        <v>800</v>
      </c>
      <c r="B2714" t="s">
        <v>678</v>
      </c>
      <c r="C2714" t="s">
        <v>8</v>
      </c>
      <c r="D2714">
        <v>154.85661999999999</v>
      </c>
    </row>
    <row r="2715" spans="1:4">
      <c r="A2715" t="s">
        <v>800</v>
      </c>
      <c r="B2715" t="s">
        <v>10</v>
      </c>
      <c r="C2715" t="s">
        <v>8</v>
      </c>
      <c r="D2715">
        <v>21680.625</v>
      </c>
    </row>
    <row r="2716" spans="1:4">
      <c r="A2716" t="s">
        <v>800</v>
      </c>
      <c r="B2716" t="s">
        <v>11</v>
      </c>
      <c r="C2716" t="s">
        <v>8</v>
      </c>
      <c r="D2716">
        <v>11.43522383</v>
      </c>
    </row>
    <row r="2717" spans="1:4">
      <c r="A2717" t="s">
        <v>800</v>
      </c>
      <c r="B2717" t="s">
        <v>678</v>
      </c>
      <c r="C2717" t="s">
        <v>15</v>
      </c>
      <c r="D2717">
        <v>868.19591000000003</v>
      </c>
    </row>
    <row r="2718" spans="1:4">
      <c r="A2718" t="s">
        <v>800</v>
      </c>
      <c r="B2718" t="s">
        <v>10</v>
      </c>
      <c r="C2718" t="s">
        <v>15</v>
      </c>
      <c r="D2718">
        <v>36849.9</v>
      </c>
    </row>
    <row r="2719" spans="1:4">
      <c r="A2719" t="s">
        <v>800</v>
      </c>
      <c r="B2719" t="s">
        <v>11</v>
      </c>
      <c r="C2719" t="s">
        <v>15</v>
      </c>
      <c r="D2719">
        <v>27.823262027999998</v>
      </c>
    </row>
    <row r="2720" spans="1:4">
      <c r="A2720" t="s">
        <v>800</v>
      </c>
      <c r="B2720" t="s">
        <v>8</v>
      </c>
      <c r="C2720" t="s">
        <v>11</v>
      </c>
      <c r="D2720">
        <v>18476.614029857999</v>
      </c>
    </row>
    <row r="2721" spans="1:4">
      <c r="A2721" t="s">
        <v>800</v>
      </c>
      <c r="B2721" t="s">
        <v>678</v>
      </c>
      <c r="C2721" t="s">
        <v>7</v>
      </c>
      <c r="D2721">
        <v>0</v>
      </c>
    </row>
    <row r="2722" spans="1:4">
      <c r="A2722" t="s">
        <v>800</v>
      </c>
      <c r="B2722" t="s">
        <v>10</v>
      </c>
      <c r="C2722" t="s">
        <v>7</v>
      </c>
      <c r="D2722">
        <v>-9.8545545899999993</v>
      </c>
    </row>
    <row r="2723" spans="1:4">
      <c r="A2723" t="s">
        <v>800</v>
      </c>
      <c r="B2723" t="s">
        <v>7</v>
      </c>
      <c r="C2723" t="s">
        <v>8</v>
      </c>
      <c r="D2723">
        <v>-9.8545545899999993</v>
      </c>
    </row>
    <row r="2724" spans="1:4">
      <c r="A2724" t="s">
        <v>800</v>
      </c>
      <c r="B2724" t="s">
        <v>678</v>
      </c>
      <c r="C2724" t="s">
        <v>16</v>
      </c>
      <c r="D2724">
        <v>602.17473744100005</v>
      </c>
    </row>
    <row r="2725" spans="1:4">
      <c r="A2725" t="s">
        <v>800</v>
      </c>
      <c r="B2725" t="s">
        <v>10</v>
      </c>
      <c r="C2725" t="s">
        <v>16</v>
      </c>
      <c r="D2725">
        <v>37958.668798300001</v>
      </c>
    </row>
    <row r="2726" spans="1:4">
      <c r="A2726" t="s">
        <v>800</v>
      </c>
      <c r="B2726" t="s">
        <v>678</v>
      </c>
      <c r="C2726" t="s">
        <v>17</v>
      </c>
      <c r="D2726">
        <v>0</v>
      </c>
    </row>
    <row r="2727" spans="1:4">
      <c r="A2727" t="s">
        <v>800</v>
      </c>
      <c r="B2727" t="s">
        <v>10</v>
      </c>
      <c r="C2727" t="s">
        <v>17</v>
      </c>
      <c r="D2727">
        <v>1034.2260000000001</v>
      </c>
    </row>
    <row r="2728" spans="1:4">
      <c r="A2728" t="s">
        <v>800</v>
      </c>
      <c r="B2728" t="s">
        <v>17</v>
      </c>
      <c r="C2728" t="s">
        <v>16</v>
      </c>
      <c r="D2728">
        <v>1034.2260000000001</v>
      </c>
    </row>
    <row r="2729" spans="1:4">
      <c r="A2729" t="s">
        <v>800</v>
      </c>
      <c r="B2729" t="s">
        <v>14</v>
      </c>
      <c r="C2729" t="s">
        <v>678</v>
      </c>
      <c r="D2729">
        <v>13495.63</v>
      </c>
    </row>
    <row r="2730" spans="1:4">
      <c r="A2730" t="s">
        <v>800</v>
      </c>
      <c r="B2730" t="s">
        <v>14</v>
      </c>
      <c r="C2730" t="s">
        <v>10</v>
      </c>
      <c r="D2730">
        <v>50406.77</v>
      </c>
    </row>
    <row r="2731" spans="1:4">
      <c r="A2731" t="s">
        <v>800</v>
      </c>
      <c r="B2731" t="s">
        <v>6</v>
      </c>
      <c r="C2731" t="s">
        <v>14</v>
      </c>
      <c r="D2731">
        <v>63902.400000000001</v>
      </c>
    </row>
    <row r="2732" spans="1:4">
      <c r="A2732" t="s">
        <v>800</v>
      </c>
      <c r="B2732" t="s">
        <v>8</v>
      </c>
      <c r="C2732" t="s">
        <v>14</v>
      </c>
      <c r="D2732">
        <v>0</v>
      </c>
    </row>
    <row r="2733" spans="1:4">
      <c r="A2733" t="s">
        <v>800</v>
      </c>
      <c r="B2733" t="s">
        <v>9</v>
      </c>
      <c r="C2733" t="s">
        <v>678</v>
      </c>
      <c r="D2733">
        <v>2818.0434</v>
      </c>
    </row>
    <row r="2734" spans="1:4">
      <c r="A2734" t="s">
        <v>800</v>
      </c>
      <c r="B2734" t="s">
        <v>9</v>
      </c>
      <c r="C2734" t="s">
        <v>10</v>
      </c>
      <c r="D2734">
        <v>3944.0129999999999</v>
      </c>
    </row>
    <row r="2735" spans="1:4">
      <c r="A2735" t="s">
        <v>800</v>
      </c>
      <c r="B2735" t="s">
        <v>6</v>
      </c>
      <c r="C2735" t="s">
        <v>9</v>
      </c>
      <c r="D2735">
        <v>6762.0564000000004</v>
      </c>
    </row>
    <row r="2736" spans="1:4">
      <c r="A2736" t="s">
        <v>800</v>
      </c>
      <c r="B2736" t="s">
        <v>13</v>
      </c>
      <c r="C2736" t="s">
        <v>678</v>
      </c>
      <c r="D2736">
        <v>7793.4070000000002</v>
      </c>
    </row>
    <row r="2737" spans="1:4">
      <c r="A2737" t="s">
        <v>800</v>
      </c>
      <c r="B2737" t="s">
        <v>13</v>
      </c>
      <c r="C2737" t="s">
        <v>10</v>
      </c>
      <c r="D2737">
        <v>53007.72</v>
      </c>
    </row>
    <row r="2738" spans="1:4">
      <c r="A2738" t="s">
        <v>800</v>
      </c>
      <c r="B2738" t="s">
        <v>6</v>
      </c>
      <c r="C2738" t="s">
        <v>13</v>
      </c>
      <c r="D2738">
        <v>60801.127</v>
      </c>
    </row>
    <row r="2739" spans="1:4">
      <c r="A2739" t="s">
        <v>800</v>
      </c>
      <c r="B2739" t="s">
        <v>8</v>
      </c>
      <c r="C2739" t="s">
        <v>678</v>
      </c>
      <c r="D2739">
        <v>6.9344100000000004E-4</v>
      </c>
    </row>
    <row r="2740" spans="1:4">
      <c r="A2740" t="s">
        <v>800</v>
      </c>
      <c r="B2740" t="s">
        <v>8</v>
      </c>
      <c r="C2740" t="s">
        <v>10</v>
      </c>
      <c r="D2740">
        <v>-1.045629E-2</v>
      </c>
    </row>
    <row r="2741" spans="1:4">
      <c r="A2741" t="s">
        <v>800</v>
      </c>
      <c r="B2741" t="s">
        <v>12</v>
      </c>
      <c r="C2741" t="s">
        <v>678</v>
      </c>
      <c r="D2741">
        <v>472.21227797199998</v>
      </c>
    </row>
    <row r="2742" spans="1:4">
      <c r="A2742" t="s">
        <v>800</v>
      </c>
      <c r="B2742" t="s">
        <v>12</v>
      </c>
      <c r="C2742" t="s">
        <v>10</v>
      </c>
      <c r="D2742">
        <v>8717.2741429910002</v>
      </c>
    </row>
    <row r="2743" spans="1:4">
      <c r="A2743" t="s">
        <v>800</v>
      </c>
      <c r="B2743" t="s">
        <v>8</v>
      </c>
      <c r="C2743" t="s">
        <v>12</v>
      </c>
      <c r="D2743">
        <v>9189.4864209629995</v>
      </c>
    </row>
    <row r="2744" spans="1:4">
      <c r="A2744" t="s">
        <v>800</v>
      </c>
      <c r="B2744" t="s">
        <v>16</v>
      </c>
      <c r="C2744" t="s">
        <v>678</v>
      </c>
      <c r="D2744">
        <v>4399.8372205360001</v>
      </c>
    </row>
    <row r="2745" spans="1:4">
      <c r="A2745" t="s">
        <v>800</v>
      </c>
      <c r="B2745" t="s">
        <v>16</v>
      </c>
      <c r="C2745" t="s">
        <v>10</v>
      </c>
      <c r="D2745">
        <v>49534.873470024999</v>
      </c>
    </row>
    <row r="2746" spans="1:4">
      <c r="A2746" t="s">
        <v>800</v>
      </c>
      <c r="B2746" t="s">
        <v>790</v>
      </c>
      <c r="C2746" t="s">
        <v>678</v>
      </c>
      <c r="D2746">
        <v>0</v>
      </c>
    </row>
    <row r="2747" spans="1:4">
      <c r="A2747" t="s">
        <v>800</v>
      </c>
      <c r="B2747" t="s">
        <v>790</v>
      </c>
      <c r="C2747" t="s">
        <v>10</v>
      </c>
      <c r="D2747">
        <v>0</v>
      </c>
    </row>
    <row r="2748" spans="1:4">
      <c r="A2748" t="s">
        <v>800</v>
      </c>
      <c r="B2748" t="s">
        <v>8</v>
      </c>
      <c r="C2748" t="s">
        <v>790</v>
      </c>
      <c r="D2748">
        <v>0</v>
      </c>
    </row>
    <row r="2749" spans="1:4">
      <c r="A2749" t="s">
        <v>800</v>
      </c>
      <c r="B2749" t="s">
        <v>8</v>
      </c>
      <c r="C2749" t="s">
        <v>6</v>
      </c>
      <c r="D2749">
        <v>-5829.0320000000002</v>
      </c>
    </row>
    <row r="2750" spans="1:4">
      <c r="A2750" t="s">
        <v>800</v>
      </c>
      <c r="B2750" t="s">
        <v>15</v>
      </c>
      <c r="C2750" t="s">
        <v>6</v>
      </c>
      <c r="D2750">
        <v>465.69279999999998</v>
      </c>
    </row>
    <row r="2751" spans="1:4">
      <c r="A2751" t="s">
        <v>800</v>
      </c>
      <c r="B2751" t="s">
        <v>5</v>
      </c>
      <c r="C2751" t="s">
        <v>6</v>
      </c>
      <c r="D2751">
        <v>22940.59</v>
      </c>
    </row>
    <row r="2752" spans="1:4">
      <c r="A2752" t="s">
        <v>800</v>
      </c>
      <c r="B2752" t="s">
        <v>15</v>
      </c>
      <c r="C2752" t="s">
        <v>5</v>
      </c>
      <c r="D2752">
        <v>22940.59</v>
      </c>
    </row>
    <row r="2753" spans="1:4">
      <c r="A2753" t="s">
        <v>800</v>
      </c>
      <c r="B2753" t="s">
        <v>6</v>
      </c>
      <c r="C2753" t="s">
        <v>8</v>
      </c>
      <c r="D2753">
        <v>0</v>
      </c>
    </row>
    <row r="2754" spans="1:4">
      <c r="A2754" t="s">
        <v>800</v>
      </c>
      <c r="B2754" t="s">
        <v>15</v>
      </c>
      <c r="C2754" t="s">
        <v>16</v>
      </c>
      <c r="D2754">
        <v>14339.641154819999</v>
      </c>
    </row>
    <row r="2755" spans="1:4">
      <c r="A2755" t="s">
        <v>800</v>
      </c>
      <c r="B2755" t="s">
        <v>8</v>
      </c>
      <c r="C2755" t="s">
        <v>15</v>
      </c>
      <c r="D2755">
        <v>3.6012679999999999E-3</v>
      </c>
    </row>
    <row r="2756" spans="1:4">
      <c r="A2756" t="s">
        <v>462</v>
      </c>
      <c r="B2756" t="s">
        <v>678</v>
      </c>
      <c r="C2756" t="s">
        <v>678</v>
      </c>
      <c r="D2756">
        <v>32.676341000000001</v>
      </c>
    </row>
    <row r="2757" spans="1:4">
      <c r="A2757" t="s">
        <v>462</v>
      </c>
      <c r="B2757" t="s">
        <v>10</v>
      </c>
      <c r="C2757" t="s">
        <v>678</v>
      </c>
      <c r="D2757">
        <v>72.424760000000006</v>
      </c>
    </row>
    <row r="2758" spans="1:4">
      <c r="A2758" t="s">
        <v>462</v>
      </c>
      <c r="B2758" t="s">
        <v>678</v>
      </c>
      <c r="C2758" t="s">
        <v>10</v>
      </c>
      <c r="D2758">
        <v>169.30172999999999</v>
      </c>
    </row>
    <row r="2759" spans="1:4">
      <c r="A2759" t="s">
        <v>462</v>
      </c>
      <c r="B2759" t="s">
        <v>10</v>
      </c>
      <c r="C2759" t="s">
        <v>10</v>
      </c>
      <c r="D2759">
        <v>3028.9983000000002</v>
      </c>
    </row>
    <row r="2760" spans="1:4">
      <c r="A2760" t="s">
        <v>462</v>
      </c>
      <c r="B2760" t="s">
        <v>11</v>
      </c>
      <c r="C2760" t="s">
        <v>678</v>
      </c>
      <c r="D2760">
        <v>0</v>
      </c>
    </row>
    <row r="2761" spans="1:4">
      <c r="A2761" t="s">
        <v>462</v>
      </c>
      <c r="B2761" t="s">
        <v>11</v>
      </c>
      <c r="C2761" t="s">
        <v>10</v>
      </c>
      <c r="D2761">
        <v>0</v>
      </c>
    </row>
    <row r="2762" spans="1:4">
      <c r="A2762" t="s">
        <v>462</v>
      </c>
      <c r="B2762" t="s">
        <v>678</v>
      </c>
      <c r="C2762" t="s">
        <v>6</v>
      </c>
      <c r="D2762">
        <v>58.714489999999998</v>
      </c>
    </row>
    <row r="2763" spans="1:4">
      <c r="A2763" t="s">
        <v>462</v>
      </c>
      <c r="B2763" t="s">
        <v>10</v>
      </c>
      <c r="C2763" t="s">
        <v>6</v>
      </c>
      <c r="D2763">
        <v>1383.2734</v>
      </c>
    </row>
    <row r="2764" spans="1:4">
      <c r="A2764" t="s">
        <v>462</v>
      </c>
      <c r="B2764" t="s">
        <v>11</v>
      </c>
      <c r="C2764" t="s">
        <v>6</v>
      </c>
      <c r="D2764">
        <v>0</v>
      </c>
    </row>
    <row r="2765" spans="1:4">
      <c r="A2765" t="s">
        <v>462</v>
      </c>
      <c r="B2765" t="s">
        <v>678</v>
      </c>
      <c r="C2765" t="s">
        <v>8</v>
      </c>
      <c r="D2765">
        <v>3.0180499999999999E-4</v>
      </c>
    </row>
    <row r="2766" spans="1:4">
      <c r="A2766" t="s">
        <v>462</v>
      </c>
      <c r="B2766" t="s">
        <v>10</v>
      </c>
      <c r="C2766" t="s">
        <v>8</v>
      </c>
      <c r="D2766">
        <v>1238.66481</v>
      </c>
    </row>
    <row r="2767" spans="1:4">
      <c r="A2767" t="s">
        <v>462</v>
      </c>
      <c r="B2767" t="s">
        <v>11</v>
      </c>
      <c r="C2767" t="s">
        <v>8</v>
      </c>
      <c r="D2767">
        <v>0</v>
      </c>
    </row>
    <row r="2768" spans="1:4">
      <c r="A2768" t="s">
        <v>462</v>
      </c>
      <c r="B2768" t="s">
        <v>678</v>
      </c>
      <c r="C2768" t="s">
        <v>15</v>
      </c>
      <c r="D2768">
        <v>3.7183244999999997E-2</v>
      </c>
    </row>
    <row r="2769" spans="1:4">
      <c r="A2769" t="s">
        <v>462</v>
      </c>
      <c r="B2769" t="s">
        <v>10</v>
      </c>
      <c r="C2769" t="s">
        <v>15</v>
      </c>
      <c r="D2769">
        <v>1338.0800999999999</v>
      </c>
    </row>
    <row r="2770" spans="1:4">
      <c r="A2770" t="s">
        <v>462</v>
      </c>
      <c r="B2770" t="s">
        <v>11</v>
      </c>
      <c r="C2770" t="s">
        <v>15</v>
      </c>
      <c r="D2770">
        <v>0</v>
      </c>
    </row>
    <row r="2771" spans="1:4">
      <c r="A2771" t="s">
        <v>462</v>
      </c>
      <c r="B2771" t="s">
        <v>8</v>
      </c>
      <c r="C2771" t="s">
        <v>11</v>
      </c>
      <c r="D2771">
        <v>0</v>
      </c>
    </row>
    <row r="2772" spans="1:4">
      <c r="A2772" t="s">
        <v>462</v>
      </c>
      <c r="B2772" t="s">
        <v>678</v>
      </c>
      <c r="C2772" t="s">
        <v>7</v>
      </c>
      <c r="D2772">
        <v>0</v>
      </c>
    </row>
    <row r="2773" spans="1:4">
      <c r="A2773" t="s">
        <v>462</v>
      </c>
      <c r="B2773" t="s">
        <v>10</v>
      </c>
      <c r="C2773" t="s">
        <v>7</v>
      </c>
      <c r="D2773">
        <v>0</v>
      </c>
    </row>
    <row r="2774" spans="1:4">
      <c r="A2774" t="s">
        <v>462</v>
      </c>
      <c r="B2774" t="s">
        <v>7</v>
      </c>
      <c r="C2774" t="s">
        <v>8</v>
      </c>
      <c r="D2774">
        <v>0</v>
      </c>
    </row>
    <row r="2775" spans="1:4">
      <c r="A2775" t="s">
        <v>462</v>
      </c>
      <c r="B2775" t="s">
        <v>678</v>
      </c>
      <c r="C2775" t="s">
        <v>16</v>
      </c>
      <c r="D2775">
        <v>107.918464411</v>
      </c>
    </row>
    <row r="2776" spans="1:4">
      <c r="A2776" t="s">
        <v>462</v>
      </c>
      <c r="B2776" t="s">
        <v>10</v>
      </c>
      <c r="C2776" t="s">
        <v>16</v>
      </c>
      <c r="D2776">
        <v>1332.0070229999999</v>
      </c>
    </row>
    <row r="2777" spans="1:4">
      <c r="A2777" t="s">
        <v>462</v>
      </c>
      <c r="B2777" t="s">
        <v>678</v>
      </c>
      <c r="C2777" t="s">
        <v>17</v>
      </c>
      <c r="D2777">
        <v>0</v>
      </c>
    </row>
    <row r="2778" spans="1:4">
      <c r="A2778" t="s">
        <v>462</v>
      </c>
      <c r="B2778" t="s">
        <v>10</v>
      </c>
      <c r="C2778" t="s">
        <v>17</v>
      </c>
      <c r="D2778">
        <v>31.567060000000001</v>
      </c>
    </row>
    <row r="2779" spans="1:4">
      <c r="A2779" t="s">
        <v>462</v>
      </c>
      <c r="B2779" t="s">
        <v>17</v>
      </c>
      <c r="C2779" t="s">
        <v>16</v>
      </c>
      <c r="D2779">
        <v>31.567060000000001</v>
      </c>
    </row>
    <row r="2780" spans="1:4">
      <c r="A2780" t="s">
        <v>462</v>
      </c>
      <c r="B2780" t="s">
        <v>14</v>
      </c>
      <c r="C2780" t="s">
        <v>678</v>
      </c>
      <c r="D2780">
        <v>134.15539999999999</v>
      </c>
    </row>
    <row r="2781" spans="1:4">
      <c r="A2781" t="s">
        <v>462</v>
      </c>
      <c r="B2781" t="s">
        <v>14</v>
      </c>
      <c r="C2781" t="s">
        <v>10</v>
      </c>
      <c r="D2781">
        <v>1886.5340000000001</v>
      </c>
    </row>
    <row r="2782" spans="1:4">
      <c r="A2782" t="s">
        <v>462</v>
      </c>
      <c r="B2782" t="s">
        <v>6</v>
      </c>
      <c r="C2782" t="s">
        <v>14</v>
      </c>
      <c r="D2782">
        <v>2020.6894</v>
      </c>
    </row>
    <row r="2783" spans="1:4">
      <c r="A2783" t="s">
        <v>462</v>
      </c>
      <c r="B2783" t="s">
        <v>8</v>
      </c>
      <c r="C2783" t="s">
        <v>14</v>
      </c>
      <c r="D2783">
        <v>0</v>
      </c>
    </row>
    <row r="2784" spans="1:4">
      <c r="A2784" t="s">
        <v>462</v>
      </c>
      <c r="B2784" t="s">
        <v>9</v>
      </c>
      <c r="C2784" t="s">
        <v>678</v>
      </c>
      <c r="D2784">
        <v>34.134771000000001</v>
      </c>
    </row>
    <row r="2785" spans="1:4">
      <c r="A2785" t="s">
        <v>462</v>
      </c>
      <c r="B2785" t="s">
        <v>9</v>
      </c>
      <c r="C2785" t="s">
        <v>10</v>
      </c>
      <c r="D2785">
        <v>30.914639999999999</v>
      </c>
    </row>
    <row r="2786" spans="1:4">
      <c r="A2786" t="s">
        <v>462</v>
      </c>
      <c r="B2786" t="s">
        <v>6</v>
      </c>
      <c r="C2786" t="s">
        <v>9</v>
      </c>
      <c r="D2786">
        <v>65.049411000000006</v>
      </c>
    </row>
    <row r="2787" spans="1:4">
      <c r="A2787" t="s">
        <v>462</v>
      </c>
      <c r="B2787" t="s">
        <v>13</v>
      </c>
      <c r="C2787" t="s">
        <v>678</v>
      </c>
      <c r="D2787">
        <v>58.772210000000001</v>
      </c>
    </row>
    <row r="2788" spans="1:4">
      <c r="A2788" t="s">
        <v>462</v>
      </c>
      <c r="B2788" t="s">
        <v>13</v>
      </c>
      <c r="C2788" t="s">
        <v>10</v>
      </c>
      <c r="D2788">
        <v>2314.5729999999999</v>
      </c>
    </row>
    <row r="2789" spans="1:4">
      <c r="A2789" t="s">
        <v>462</v>
      </c>
      <c r="B2789" t="s">
        <v>6</v>
      </c>
      <c r="C2789" t="s">
        <v>13</v>
      </c>
      <c r="D2789">
        <v>2373.34521</v>
      </c>
    </row>
    <row r="2790" spans="1:4">
      <c r="A2790" t="s">
        <v>462</v>
      </c>
      <c r="B2790" t="s">
        <v>8</v>
      </c>
      <c r="C2790" t="s">
        <v>678</v>
      </c>
      <c r="D2790">
        <v>-2.014617769</v>
      </c>
    </row>
    <row r="2791" spans="1:4">
      <c r="A2791" t="s">
        <v>462</v>
      </c>
      <c r="B2791" t="s">
        <v>8</v>
      </c>
      <c r="C2791" t="s">
        <v>10</v>
      </c>
      <c r="D2791">
        <v>-7.8031470000000001</v>
      </c>
    </row>
    <row r="2792" spans="1:4">
      <c r="A2792" t="s">
        <v>462</v>
      </c>
      <c r="B2792" t="s">
        <v>12</v>
      </c>
      <c r="C2792" t="s">
        <v>678</v>
      </c>
      <c r="D2792">
        <v>0.60512350299999995</v>
      </c>
    </row>
    <row r="2793" spans="1:4">
      <c r="A2793" t="s">
        <v>462</v>
      </c>
      <c r="B2793" t="s">
        <v>12</v>
      </c>
      <c r="C2793" t="s">
        <v>10</v>
      </c>
      <c r="D2793">
        <v>41.999566459999997</v>
      </c>
    </row>
    <row r="2794" spans="1:4">
      <c r="A2794" t="s">
        <v>462</v>
      </c>
      <c r="B2794" t="s">
        <v>8</v>
      </c>
      <c r="C2794" t="s">
        <v>12</v>
      </c>
      <c r="D2794">
        <v>42.604689962999998</v>
      </c>
    </row>
    <row r="2795" spans="1:4">
      <c r="A2795" t="s">
        <v>462</v>
      </c>
      <c r="B2795" t="s">
        <v>16</v>
      </c>
      <c r="C2795" t="s">
        <v>678</v>
      </c>
      <c r="D2795">
        <v>37.894525764999997</v>
      </c>
    </row>
    <row r="2796" spans="1:4">
      <c r="A2796" t="s">
        <v>462</v>
      </c>
      <c r="B2796" t="s">
        <v>16</v>
      </c>
      <c r="C2796" t="s">
        <v>10</v>
      </c>
      <c r="D2796">
        <v>960.49733254299997</v>
      </c>
    </row>
    <row r="2797" spans="1:4">
      <c r="A2797" t="s">
        <v>462</v>
      </c>
      <c r="B2797" t="s">
        <v>790</v>
      </c>
      <c r="C2797" t="s">
        <v>678</v>
      </c>
      <c r="D2797">
        <v>0</v>
      </c>
    </row>
    <row r="2798" spans="1:4">
      <c r="A2798" t="s">
        <v>462</v>
      </c>
      <c r="B2798" t="s">
        <v>790</v>
      </c>
      <c r="C2798" t="s">
        <v>10</v>
      </c>
      <c r="D2798">
        <v>0</v>
      </c>
    </row>
    <row r="2799" spans="1:4">
      <c r="A2799" t="s">
        <v>462</v>
      </c>
      <c r="B2799" t="s">
        <v>8</v>
      </c>
      <c r="C2799" t="s">
        <v>790</v>
      </c>
      <c r="D2799">
        <v>0</v>
      </c>
    </row>
    <row r="2800" spans="1:4">
      <c r="A2800" t="s">
        <v>462</v>
      </c>
      <c r="B2800" t="s">
        <v>8</v>
      </c>
      <c r="C2800" t="s">
        <v>6</v>
      </c>
      <c r="D2800">
        <v>1205.8783309999999</v>
      </c>
    </row>
    <row r="2801" spans="1:4">
      <c r="A2801" t="s">
        <v>462</v>
      </c>
      <c r="B2801" t="s">
        <v>15</v>
      </c>
      <c r="C2801" t="s">
        <v>6</v>
      </c>
      <c r="D2801">
        <v>1295.0309999999999</v>
      </c>
    </row>
    <row r="2802" spans="1:4">
      <c r="A2802" t="s">
        <v>462</v>
      </c>
      <c r="B2802" t="s">
        <v>5</v>
      </c>
      <c r="C2802" t="s">
        <v>6</v>
      </c>
      <c r="D2802">
        <v>516.18679999999995</v>
      </c>
    </row>
    <row r="2803" spans="1:4">
      <c r="A2803" t="s">
        <v>462</v>
      </c>
      <c r="B2803" t="s">
        <v>15</v>
      </c>
      <c r="C2803" t="s">
        <v>5</v>
      </c>
      <c r="D2803">
        <v>516.18679999999995</v>
      </c>
    </row>
    <row r="2804" spans="1:4">
      <c r="A2804" t="s">
        <v>462</v>
      </c>
      <c r="B2804" t="s">
        <v>6</v>
      </c>
      <c r="C2804" t="s">
        <v>8</v>
      </c>
      <c r="D2804">
        <v>0</v>
      </c>
    </row>
    <row r="2805" spans="1:4">
      <c r="A2805" t="s">
        <v>462</v>
      </c>
      <c r="B2805" t="s">
        <v>16</v>
      </c>
      <c r="C2805" t="s">
        <v>15</v>
      </c>
      <c r="D2805">
        <v>473.10068910400003</v>
      </c>
    </row>
    <row r="2806" spans="1:4">
      <c r="A2806" t="s">
        <v>462</v>
      </c>
      <c r="B2806" t="s">
        <v>15</v>
      </c>
      <c r="C2806" t="s">
        <v>8</v>
      </c>
      <c r="D2806">
        <v>1.44389E-4</v>
      </c>
    </row>
    <row r="2807" spans="1:4">
      <c r="A2807" t="s">
        <v>801</v>
      </c>
      <c r="B2807" t="s">
        <v>678</v>
      </c>
      <c r="C2807" t="s">
        <v>678</v>
      </c>
      <c r="D2807">
        <v>663.57821000000001</v>
      </c>
    </row>
    <row r="2808" spans="1:4">
      <c r="A2808" t="s">
        <v>801</v>
      </c>
      <c r="B2808" t="s">
        <v>10</v>
      </c>
      <c r="C2808" t="s">
        <v>678</v>
      </c>
      <c r="D2808">
        <v>5025.0559999999996</v>
      </c>
    </row>
    <row r="2809" spans="1:4">
      <c r="A2809" t="s">
        <v>801</v>
      </c>
      <c r="B2809" t="s">
        <v>678</v>
      </c>
      <c r="C2809" t="s">
        <v>10</v>
      </c>
      <c r="D2809">
        <v>6625.5151999999998</v>
      </c>
    </row>
    <row r="2810" spans="1:4">
      <c r="A2810" t="s">
        <v>801</v>
      </c>
      <c r="B2810" t="s">
        <v>10</v>
      </c>
      <c r="C2810" t="s">
        <v>10</v>
      </c>
      <c r="D2810">
        <v>126665.64</v>
      </c>
    </row>
    <row r="2811" spans="1:4">
      <c r="A2811" t="s">
        <v>801</v>
      </c>
      <c r="B2811" t="s">
        <v>11</v>
      </c>
      <c r="C2811" t="s">
        <v>678</v>
      </c>
      <c r="D2811">
        <v>62.498542999999998</v>
      </c>
    </row>
    <row r="2812" spans="1:4">
      <c r="A2812" t="s">
        <v>801</v>
      </c>
      <c r="B2812" t="s">
        <v>11</v>
      </c>
      <c r="C2812" t="s">
        <v>10</v>
      </c>
      <c r="D2812">
        <v>3592.6512868999998</v>
      </c>
    </row>
    <row r="2813" spans="1:4">
      <c r="A2813" t="s">
        <v>801</v>
      </c>
      <c r="B2813" t="s">
        <v>678</v>
      </c>
      <c r="C2813" t="s">
        <v>6</v>
      </c>
      <c r="D2813">
        <v>3368.9414000000002</v>
      </c>
    </row>
    <row r="2814" spans="1:4">
      <c r="A2814" t="s">
        <v>801</v>
      </c>
      <c r="B2814" t="s">
        <v>10</v>
      </c>
      <c r="C2814" t="s">
        <v>6</v>
      </c>
      <c r="D2814">
        <v>74005.588000000003</v>
      </c>
    </row>
    <row r="2815" spans="1:4">
      <c r="A2815" t="s">
        <v>801</v>
      </c>
      <c r="B2815" t="s">
        <v>11</v>
      </c>
      <c r="C2815" t="s">
        <v>6</v>
      </c>
      <c r="D2815">
        <v>5472.0493895999998</v>
      </c>
    </row>
    <row r="2816" spans="1:4">
      <c r="A2816" t="s">
        <v>801</v>
      </c>
      <c r="B2816" t="s">
        <v>678</v>
      </c>
      <c r="C2816" t="s">
        <v>8</v>
      </c>
      <c r="D2816">
        <v>6.4207739999999999E-2</v>
      </c>
    </row>
    <row r="2817" spans="1:4">
      <c r="A2817" t="s">
        <v>801</v>
      </c>
      <c r="B2817" t="s">
        <v>10</v>
      </c>
      <c r="C2817" t="s">
        <v>8</v>
      </c>
      <c r="D2817">
        <v>29198.630700000002</v>
      </c>
    </row>
    <row r="2818" spans="1:4">
      <c r="A2818" t="s">
        <v>801</v>
      </c>
      <c r="B2818" t="s">
        <v>11</v>
      </c>
      <c r="C2818" t="s">
        <v>8</v>
      </c>
      <c r="D2818">
        <v>0</v>
      </c>
    </row>
    <row r="2819" spans="1:4">
      <c r="A2819" t="s">
        <v>801</v>
      </c>
      <c r="B2819" t="s">
        <v>678</v>
      </c>
      <c r="C2819" t="s">
        <v>15</v>
      </c>
      <c r="D2819">
        <v>1.6925656000000001E-2</v>
      </c>
    </row>
    <row r="2820" spans="1:4">
      <c r="A2820" t="s">
        <v>801</v>
      </c>
      <c r="B2820" t="s">
        <v>10</v>
      </c>
      <c r="C2820" t="s">
        <v>15</v>
      </c>
      <c r="D2820">
        <v>22590.091</v>
      </c>
    </row>
    <row r="2821" spans="1:4">
      <c r="A2821" t="s">
        <v>801</v>
      </c>
      <c r="B2821" t="s">
        <v>11</v>
      </c>
      <c r="C2821" t="s">
        <v>15</v>
      </c>
      <c r="D2821">
        <v>1761.7156</v>
      </c>
    </row>
    <row r="2822" spans="1:4">
      <c r="A2822" t="s">
        <v>801</v>
      </c>
      <c r="B2822" t="s">
        <v>8</v>
      </c>
      <c r="C2822" t="s">
        <v>11</v>
      </c>
      <c r="D2822">
        <v>10888.9148195</v>
      </c>
    </row>
    <row r="2823" spans="1:4">
      <c r="A2823" t="s">
        <v>801</v>
      </c>
      <c r="B2823" t="s">
        <v>678</v>
      </c>
      <c r="C2823" t="s">
        <v>7</v>
      </c>
      <c r="D2823">
        <v>0</v>
      </c>
    </row>
    <row r="2824" spans="1:4">
      <c r="A2824" t="s">
        <v>801</v>
      </c>
      <c r="B2824" t="s">
        <v>10</v>
      </c>
      <c r="C2824" t="s">
        <v>7</v>
      </c>
      <c r="D2824">
        <v>0</v>
      </c>
    </row>
    <row r="2825" spans="1:4">
      <c r="A2825" t="s">
        <v>801</v>
      </c>
      <c r="B2825" t="s">
        <v>7</v>
      </c>
      <c r="C2825" t="s">
        <v>8</v>
      </c>
      <c r="D2825">
        <v>0</v>
      </c>
    </row>
    <row r="2826" spans="1:4">
      <c r="A2826" t="s">
        <v>801</v>
      </c>
      <c r="B2826" t="s">
        <v>678</v>
      </c>
      <c r="C2826" t="s">
        <v>16</v>
      </c>
      <c r="D2826">
        <v>1561.4755281</v>
      </c>
    </row>
    <row r="2827" spans="1:4">
      <c r="A2827" t="s">
        <v>801</v>
      </c>
      <c r="B2827" t="s">
        <v>10</v>
      </c>
      <c r="C2827" t="s">
        <v>16</v>
      </c>
      <c r="D2827">
        <v>31370.446303000001</v>
      </c>
    </row>
    <row r="2828" spans="1:4">
      <c r="A2828" t="s">
        <v>801</v>
      </c>
      <c r="B2828" t="s">
        <v>678</v>
      </c>
      <c r="C2828" t="s">
        <v>17</v>
      </c>
      <c r="D2828">
        <v>0</v>
      </c>
    </row>
    <row r="2829" spans="1:4">
      <c r="A2829" t="s">
        <v>801</v>
      </c>
      <c r="B2829" t="s">
        <v>10</v>
      </c>
      <c r="C2829" t="s">
        <v>17</v>
      </c>
      <c r="D2829">
        <v>388.96179999999998</v>
      </c>
    </row>
    <row r="2830" spans="1:4">
      <c r="A2830" t="s">
        <v>801</v>
      </c>
      <c r="B2830" t="s">
        <v>17</v>
      </c>
      <c r="C2830" t="s">
        <v>16</v>
      </c>
      <c r="D2830">
        <v>388.96179999999998</v>
      </c>
    </row>
    <row r="2831" spans="1:4">
      <c r="A2831" t="s">
        <v>801</v>
      </c>
      <c r="B2831" t="s">
        <v>14</v>
      </c>
      <c r="C2831" t="s">
        <v>678</v>
      </c>
      <c r="D2831">
        <v>2012.558</v>
      </c>
    </row>
    <row r="2832" spans="1:4">
      <c r="A2832" t="s">
        <v>801</v>
      </c>
      <c r="B2832" t="s">
        <v>14</v>
      </c>
      <c r="C2832" t="s">
        <v>10</v>
      </c>
      <c r="D2832">
        <v>71786.289999999994</v>
      </c>
    </row>
    <row r="2833" spans="1:4">
      <c r="A2833" t="s">
        <v>801</v>
      </c>
      <c r="B2833" t="s">
        <v>6</v>
      </c>
      <c r="C2833" t="s">
        <v>14</v>
      </c>
      <c r="D2833">
        <v>73798.847999999998</v>
      </c>
    </row>
    <row r="2834" spans="1:4">
      <c r="A2834" t="s">
        <v>801</v>
      </c>
      <c r="B2834" t="s">
        <v>8</v>
      </c>
      <c r="C2834" t="s">
        <v>14</v>
      </c>
      <c r="D2834">
        <v>0</v>
      </c>
    </row>
    <row r="2835" spans="1:4">
      <c r="A2835" t="s">
        <v>801</v>
      </c>
      <c r="B2835" t="s">
        <v>9</v>
      </c>
      <c r="C2835" t="s">
        <v>678</v>
      </c>
      <c r="D2835">
        <v>920.99620000000004</v>
      </c>
    </row>
    <row r="2836" spans="1:4">
      <c r="A2836" t="s">
        <v>801</v>
      </c>
      <c r="B2836" t="s">
        <v>9</v>
      </c>
      <c r="C2836" t="s">
        <v>10</v>
      </c>
      <c r="D2836">
        <v>1610.579</v>
      </c>
    </row>
    <row r="2837" spans="1:4">
      <c r="A2837" t="s">
        <v>801</v>
      </c>
      <c r="B2837" t="s">
        <v>6</v>
      </c>
      <c r="C2837" t="s">
        <v>9</v>
      </c>
      <c r="D2837">
        <v>2531.5752000000002</v>
      </c>
    </row>
    <row r="2838" spans="1:4">
      <c r="A2838" t="s">
        <v>801</v>
      </c>
      <c r="B2838" t="s">
        <v>13</v>
      </c>
      <c r="C2838" t="s">
        <v>678</v>
      </c>
      <c r="D2838">
        <v>2906.183</v>
      </c>
    </row>
    <row r="2839" spans="1:4">
      <c r="A2839" t="s">
        <v>801</v>
      </c>
      <c r="B2839" t="s">
        <v>13</v>
      </c>
      <c r="C2839" t="s">
        <v>10</v>
      </c>
      <c r="D2839">
        <v>45904.24</v>
      </c>
    </row>
    <row r="2840" spans="1:4">
      <c r="A2840" t="s">
        <v>801</v>
      </c>
      <c r="B2840" t="s">
        <v>6</v>
      </c>
      <c r="C2840" t="s">
        <v>13</v>
      </c>
      <c r="D2840">
        <v>48810.423000000003</v>
      </c>
    </row>
    <row r="2841" spans="1:4">
      <c r="A2841" t="s">
        <v>801</v>
      </c>
      <c r="B2841" t="s">
        <v>8</v>
      </c>
      <c r="C2841" t="s">
        <v>678</v>
      </c>
      <c r="D2841">
        <v>5.5006862400000003</v>
      </c>
    </row>
    <row r="2842" spans="1:4">
      <c r="A2842" t="s">
        <v>801</v>
      </c>
      <c r="B2842" t="s">
        <v>8</v>
      </c>
      <c r="C2842" t="s">
        <v>10</v>
      </c>
      <c r="D2842">
        <v>-3.3383900000000001E-2</v>
      </c>
    </row>
    <row r="2843" spans="1:4">
      <c r="A2843" t="s">
        <v>801</v>
      </c>
      <c r="B2843" t="s">
        <v>12</v>
      </c>
      <c r="C2843" t="s">
        <v>678</v>
      </c>
      <c r="D2843">
        <v>8.478151961</v>
      </c>
    </row>
    <row r="2844" spans="1:4">
      <c r="A2844" t="s">
        <v>801</v>
      </c>
      <c r="B2844" t="s">
        <v>12</v>
      </c>
      <c r="C2844" t="s">
        <v>10</v>
      </c>
      <c r="D2844">
        <v>1449.19677241</v>
      </c>
    </row>
    <row r="2845" spans="1:4">
      <c r="A2845" t="s">
        <v>801</v>
      </c>
      <c r="B2845" t="s">
        <v>8</v>
      </c>
      <c r="C2845" t="s">
        <v>12</v>
      </c>
      <c r="D2845">
        <v>1457.6749243710001</v>
      </c>
    </row>
    <row r="2846" spans="1:4">
      <c r="A2846" t="s">
        <v>801</v>
      </c>
      <c r="B2846" t="s">
        <v>16</v>
      </c>
      <c r="C2846" t="s">
        <v>678</v>
      </c>
      <c r="D2846">
        <v>614.74257515500005</v>
      </c>
    </row>
    <row r="2847" spans="1:4">
      <c r="A2847" t="s">
        <v>801</v>
      </c>
      <c r="B2847" t="s">
        <v>16</v>
      </c>
      <c r="C2847" t="s">
        <v>10</v>
      </c>
      <c r="D2847">
        <v>31610.340477460999</v>
      </c>
    </row>
    <row r="2848" spans="1:4">
      <c r="A2848" t="s">
        <v>801</v>
      </c>
      <c r="B2848" t="s">
        <v>790</v>
      </c>
      <c r="C2848" t="s">
        <v>678</v>
      </c>
      <c r="D2848">
        <v>0</v>
      </c>
    </row>
    <row r="2849" spans="1:4">
      <c r="A2849" t="s">
        <v>801</v>
      </c>
      <c r="B2849" t="s">
        <v>790</v>
      </c>
      <c r="C2849" t="s">
        <v>10</v>
      </c>
      <c r="D2849">
        <v>0</v>
      </c>
    </row>
    <row r="2850" spans="1:4">
      <c r="A2850" t="s">
        <v>801</v>
      </c>
      <c r="B2850" t="s">
        <v>8</v>
      </c>
      <c r="C2850" t="s">
        <v>790</v>
      </c>
      <c r="D2850">
        <v>0</v>
      </c>
    </row>
    <row r="2851" spans="1:4">
      <c r="A2851" t="s">
        <v>801</v>
      </c>
      <c r="B2851" t="s">
        <v>8</v>
      </c>
      <c r="C2851" t="s">
        <v>6</v>
      </c>
      <c r="D2851">
        <v>16846.628410400001</v>
      </c>
    </row>
    <row r="2852" spans="1:4">
      <c r="A2852" t="s">
        <v>801</v>
      </c>
      <c r="B2852" t="s">
        <v>15</v>
      </c>
      <c r="C2852" t="s">
        <v>6</v>
      </c>
      <c r="D2852">
        <v>7409.6790000000001</v>
      </c>
    </row>
    <row r="2853" spans="1:4">
      <c r="A2853" t="s">
        <v>801</v>
      </c>
      <c r="B2853" t="s">
        <v>5</v>
      </c>
      <c r="C2853" t="s">
        <v>6</v>
      </c>
      <c r="D2853">
        <v>18037.96</v>
      </c>
    </row>
    <row r="2854" spans="1:4">
      <c r="A2854" t="s">
        <v>801</v>
      </c>
      <c r="B2854" t="s">
        <v>15</v>
      </c>
      <c r="C2854" t="s">
        <v>5</v>
      </c>
      <c r="D2854">
        <v>18037.96</v>
      </c>
    </row>
    <row r="2855" spans="1:4">
      <c r="A2855" t="s">
        <v>801</v>
      </c>
      <c r="B2855" t="s">
        <v>6</v>
      </c>
      <c r="C2855" t="s">
        <v>8</v>
      </c>
      <c r="D2855">
        <v>0</v>
      </c>
    </row>
    <row r="2856" spans="1:4">
      <c r="A2856" t="s">
        <v>801</v>
      </c>
      <c r="B2856" t="s">
        <v>16</v>
      </c>
      <c r="C2856" t="s">
        <v>15</v>
      </c>
      <c r="D2856">
        <v>1095.800578484</v>
      </c>
    </row>
    <row r="2857" spans="1:4">
      <c r="A2857" t="s">
        <v>801</v>
      </c>
      <c r="B2857" t="s">
        <v>8</v>
      </c>
      <c r="C2857" t="s">
        <v>15</v>
      </c>
      <c r="D2857">
        <v>9.4511279999999996E-3</v>
      </c>
    </row>
    <row r="2858" spans="1:4">
      <c r="A2858" t="s">
        <v>475</v>
      </c>
      <c r="B2858" t="s">
        <v>678</v>
      </c>
      <c r="C2858" t="s">
        <v>678</v>
      </c>
      <c r="D2858">
        <v>113.816151</v>
      </c>
    </row>
    <row r="2859" spans="1:4">
      <c r="A2859" t="s">
        <v>475</v>
      </c>
      <c r="B2859" t="s">
        <v>10</v>
      </c>
      <c r="C2859" t="s">
        <v>678</v>
      </c>
      <c r="D2859">
        <v>378.99797000000001</v>
      </c>
    </row>
    <row r="2860" spans="1:4">
      <c r="A2860" t="s">
        <v>475</v>
      </c>
      <c r="B2860" t="s">
        <v>678</v>
      </c>
      <c r="C2860" t="s">
        <v>10</v>
      </c>
      <c r="D2860">
        <v>112.54056799999999</v>
      </c>
    </row>
    <row r="2861" spans="1:4">
      <c r="A2861" t="s">
        <v>475</v>
      </c>
      <c r="B2861" t="s">
        <v>10</v>
      </c>
      <c r="C2861" t="s">
        <v>10</v>
      </c>
      <c r="D2861">
        <v>1104.1823999999999</v>
      </c>
    </row>
    <row r="2862" spans="1:4">
      <c r="A2862" t="s">
        <v>475</v>
      </c>
      <c r="B2862" t="s">
        <v>11</v>
      </c>
      <c r="C2862" t="s">
        <v>678</v>
      </c>
      <c r="D2862">
        <v>5.2952158499999999</v>
      </c>
    </row>
    <row r="2863" spans="1:4">
      <c r="A2863" t="s">
        <v>475</v>
      </c>
      <c r="B2863" t="s">
        <v>11</v>
      </c>
      <c r="C2863" t="s">
        <v>10</v>
      </c>
      <c r="D2863">
        <v>19.828109000000001</v>
      </c>
    </row>
    <row r="2864" spans="1:4">
      <c r="A2864" t="s">
        <v>475</v>
      </c>
      <c r="B2864" t="s">
        <v>678</v>
      </c>
      <c r="C2864" t="s">
        <v>6</v>
      </c>
      <c r="D2864">
        <v>553.68001900000002</v>
      </c>
    </row>
    <row r="2865" spans="1:4">
      <c r="A2865" t="s">
        <v>475</v>
      </c>
      <c r="B2865" t="s">
        <v>10</v>
      </c>
      <c r="C2865" t="s">
        <v>6</v>
      </c>
      <c r="D2865">
        <v>1435.6061999999999</v>
      </c>
    </row>
    <row r="2866" spans="1:4">
      <c r="A2866" t="s">
        <v>475</v>
      </c>
      <c r="B2866" t="s">
        <v>11</v>
      </c>
      <c r="C2866" t="s">
        <v>6</v>
      </c>
      <c r="D2866">
        <v>159.08309602</v>
      </c>
    </row>
    <row r="2867" spans="1:4">
      <c r="A2867" t="s">
        <v>475</v>
      </c>
      <c r="B2867" t="s">
        <v>678</v>
      </c>
      <c r="C2867" t="s">
        <v>8</v>
      </c>
      <c r="D2867">
        <v>14.9391943</v>
      </c>
    </row>
    <row r="2868" spans="1:4">
      <c r="A2868" t="s">
        <v>475</v>
      </c>
      <c r="B2868" t="s">
        <v>10</v>
      </c>
      <c r="C2868" t="s">
        <v>8</v>
      </c>
      <c r="D2868">
        <v>303.81153999999998</v>
      </c>
    </row>
    <row r="2869" spans="1:4">
      <c r="A2869" t="s">
        <v>475</v>
      </c>
      <c r="B2869" t="s">
        <v>11</v>
      </c>
      <c r="C2869" t="s">
        <v>8</v>
      </c>
      <c r="D2869">
        <v>0</v>
      </c>
    </row>
    <row r="2870" spans="1:4">
      <c r="A2870" t="s">
        <v>475</v>
      </c>
      <c r="B2870" t="s">
        <v>678</v>
      </c>
      <c r="C2870" t="s">
        <v>15</v>
      </c>
      <c r="D2870">
        <v>16.65069755</v>
      </c>
    </row>
    <row r="2871" spans="1:4">
      <c r="A2871" t="s">
        <v>475</v>
      </c>
      <c r="B2871" t="s">
        <v>10</v>
      </c>
      <c r="C2871" t="s">
        <v>15</v>
      </c>
      <c r="D2871">
        <v>230.03059999999999</v>
      </c>
    </row>
    <row r="2872" spans="1:4">
      <c r="A2872" t="s">
        <v>475</v>
      </c>
      <c r="B2872" t="s">
        <v>11</v>
      </c>
      <c r="C2872" t="s">
        <v>15</v>
      </c>
      <c r="D2872">
        <v>1.422424379</v>
      </c>
    </row>
    <row r="2873" spans="1:4">
      <c r="A2873" t="s">
        <v>475</v>
      </c>
      <c r="B2873" t="s">
        <v>8</v>
      </c>
      <c r="C2873" t="s">
        <v>11</v>
      </c>
      <c r="D2873">
        <v>185.62884524899999</v>
      </c>
    </row>
    <row r="2874" spans="1:4">
      <c r="A2874" t="s">
        <v>475</v>
      </c>
      <c r="B2874" t="s">
        <v>678</v>
      </c>
      <c r="C2874" t="s">
        <v>7</v>
      </c>
      <c r="D2874">
        <v>0</v>
      </c>
    </row>
    <row r="2875" spans="1:4">
      <c r="A2875" t="s">
        <v>475</v>
      </c>
      <c r="B2875" t="s">
        <v>10</v>
      </c>
      <c r="C2875" t="s">
        <v>7</v>
      </c>
      <c r="D2875">
        <v>0</v>
      </c>
    </row>
    <row r="2876" spans="1:4">
      <c r="A2876" t="s">
        <v>475</v>
      </c>
      <c r="B2876" t="s">
        <v>7</v>
      </c>
      <c r="C2876" t="s">
        <v>8</v>
      </c>
      <c r="D2876">
        <v>0</v>
      </c>
    </row>
    <row r="2877" spans="1:4">
      <c r="A2877" t="s">
        <v>475</v>
      </c>
      <c r="B2877" t="s">
        <v>678</v>
      </c>
      <c r="C2877" t="s">
        <v>16</v>
      </c>
      <c r="D2877">
        <v>421.93430630900002</v>
      </c>
    </row>
    <row r="2878" spans="1:4">
      <c r="A2878" t="s">
        <v>475</v>
      </c>
      <c r="B2878" t="s">
        <v>10</v>
      </c>
      <c r="C2878" t="s">
        <v>16</v>
      </c>
      <c r="D2878">
        <v>199.82045656</v>
      </c>
    </row>
    <row r="2879" spans="1:4">
      <c r="A2879" t="s">
        <v>475</v>
      </c>
      <c r="B2879" t="s">
        <v>678</v>
      </c>
      <c r="C2879" t="s">
        <v>17</v>
      </c>
      <c r="D2879">
        <v>0</v>
      </c>
    </row>
    <row r="2880" spans="1:4">
      <c r="A2880" t="s">
        <v>475</v>
      </c>
      <c r="B2880" t="s">
        <v>10</v>
      </c>
      <c r="C2880" t="s">
        <v>17</v>
      </c>
      <c r="D2880">
        <v>14.88345</v>
      </c>
    </row>
    <row r="2881" spans="1:4">
      <c r="A2881" t="s">
        <v>475</v>
      </c>
      <c r="B2881" t="s">
        <v>17</v>
      </c>
      <c r="C2881" t="s">
        <v>16</v>
      </c>
      <c r="D2881">
        <v>14.88345</v>
      </c>
    </row>
    <row r="2882" spans="1:4">
      <c r="A2882" t="s">
        <v>475</v>
      </c>
      <c r="B2882" t="s">
        <v>14</v>
      </c>
      <c r="C2882" t="s">
        <v>678</v>
      </c>
      <c r="D2882">
        <v>437.52100000000002</v>
      </c>
    </row>
    <row r="2883" spans="1:4">
      <c r="A2883" t="s">
        <v>475</v>
      </c>
      <c r="B2883" t="s">
        <v>14</v>
      </c>
      <c r="C2883" t="s">
        <v>10</v>
      </c>
      <c r="D2883">
        <v>961.17340000000002</v>
      </c>
    </row>
    <row r="2884" spans="1:4">
      <c r="A2884" t="s">
        <v>475</v>
      </c>
      <c r="B2884" t="s">
        <v>6</v>
      </c>
      <c r="C2884" t="s">
        <v>14</v>
      </c>
      <c r="D2884">
        <v>1398.6944000000001</v>
      </c>
    </row>
    <row r="2885" spans="1:4">
      <c r="A2885" t="s">
        <v>475</v>
      </c>
      <c r="B2885" t="s">
        <v>8</v>
      </c>
      <c r="C2885" t="s">
        <v>14</v>
      </c>
      <c r="D2885">
        <v>0</v>
      </c>
    </row>
    <row r="2886" spans="1:4">
      <c r="A2886" t="s">
        <v>475</v>
      </c>
      <c r="B2886" t="s">
        <v>9</v>
      </c>
      <c r="C2886" t="s">
        <v>678</v>
      </c>
      <c r="D2886">
        <v>116.32555000000001</v>
      </c>
    </row>
    <row r="2887" spans="1:4">
      <c r="A2887" t="s">
        <v>475</v>
      </c>
      <c r="B2887" t="s">
        <v>9</v>
      </c>
      <c r="C2887" t="s">
        <v>10</v>
      </c>
      <c r="D2887">
        <v>3.9862259999999998</v>
      </c>
    </row>
    <row r="2888" spans="1:4">
      <c r="A2888" t="s">
        <v>475</v>
      </c>
      <c r="B2888" t="s">
        <v>6</v>
      </c>
      <c r="C2888" t="s">
        <v>9</v>
      </c>
      <c r="D2888">
        <v>120.31177599999999</v>
      </c>
    </row>
    <row r="2889" spans="1:4">
      <c r="A2889" t="s">
        <v>475</v>
      </c>
      <c r="B2889" t="s">
        <v>13</v>
      </c>
      <c r="C2889" t="s">
        <v>678</v>
      </c>
      <c r="D2889">
        <v>173.71789999999999</v>
      </c>
    </row>
    <row r="2890" spans="1:4">
      <c r="A2890" t="s">
        <v>475</v>
      </c>
      <c r="B2890" t="s">
        <v>13</v>
      </c>
      <c r="C2890" t="s">
        <v>10</v>
      </c>
      <c r="D2890">
        <v>879.50720000000001</v>
      </c>
    </row>
    <row r="2891" spans="1:4">
      <c r="A2891" t="s">
        <v>475</v>
      </c>
      <c r="B2891" t="s">
        <v>6</v>
      </c>
      <c r="C2891" t="s">
        <v>13</v>
      </c>
      <c r="D2891">
        <v>1053.2251000000001</v>
      </c>
    </row>
    <row r="2892" spans="1:4">
      <c r="A2892" t="s">
        <v>475</v>
      </c>
      <c r="B2892" t="s">
        <v>8</v>
      </c>
      <c r="C2892" t="s">
        <v>678</v>
      </c>
      <c r="D2892">
        <v>1.09459E-4</v>
      </c>
    </row>
    <row r="2893" spans="1:4">
      <c r="A2893" t="s">
        <v>475</v>
      </c>
      <c r="B2893" t="s">
        <v>8</v>
      </c>
      <c r="C2893" t="s">
        <v>10</v>
      </c>
      <c r="D2893">
        <v>-4.9644000000000001E-4</v>
      </c>
    </row>
    <row r="2894" spans="1:4">
      <c r="A2894" t="s">
        <v>475</v>
      </c>
      <c r="B2894" t="s">
        <v>12</v>
      </c>
      <c r="C2894" t="s">
        <v>678</v>
      </c>
      <c r="D2894">
        <v>0.74470415300000004</v>
      </c>
    </row>
    <row r="2895" spans="1:4">
      <c r="A2895" t="s">
        <v>475</v>
      </c>
      <c r="B2895" t="s">
        <v>12</v>
      </c>
      <c r="C2895" t="s">
        <v>10</v>
      </c>
      <c r="D2895">
        <v>42.407253259999997</v>
      </c>
    </row>
    <row r="2896" spans="1:4">
      <c r="A2896" t="s">
        <v>475</v>
      </c>
      <c r="B2896" t="s">
        <v>8</v>
      </c>
      <c r="C2896" t="s">
        <v>12</v>
      </c>
      <c r="D2896">
        <v>43.151957412999998</v>
      </c>
    </row>
    <row r="2897" spans="1:4">
      <c r="A2897" t="s">
        <v>475</v>
      </c>
      <c r="B2897" t="s">
        <v>16</v>
      </c>
      <c r="C2897" t="s">
        <v>678</v>
      </c>
      <c r="D2897">
        <v>7.1423352219999998</v>
      </c>
    </row>
    <row r="2898" spans="1:4">
      <c r="A2898" t="s">
        <v>475</v>
      </c>
      <c r="B2898" t="s">
        <v>16</v>
      </c>
      <c r="C2898" t="s">
        <v>10</v>
      </c>
      <c r="D2898">
        <v>543.70789987700005</v>
      </c>
    </row>
    <row r="2899" spans="1:4">
      <c r="A2899" t="s">
        <v>475</v>
      </c>
      <c r="B2899" t="s">
        <v>790</v>
      </c>
      <c r="C2899" t="s">
        <v>678</v>
      </c>
      <c r="D2899">
        <v>0</v>
      </c>
    </row>
    <row r="2900" spans="1:4">
      <c r="A2900" t="s">
        <v>475</v>
      </c>
      <c r="B2900" t="s">
        <v>790</v>
      </c>
      <c r="C2900" t="s">
        <v>10</v>
      </c>
      <c r="D2900">
        <v>0</v>
      </c>
    </row>
    <row r="2901" spans="1:4">
      <c r="A2901" t="s">
        <v>475</v>
      </c>
      <c r="B2901" t="s">
        <v>8</v>
      </c>
      <c r="C2901" t="s">
        <v>790</v>
      </c>
      <c r="D2901">
        <v>0</v>
      </c>
    </row>
    <row r="2902" spans="1:4">
      <c r="A2902" t="s">
        <v>475</v>
      </c>
      <c r="B2902" t="s">
        <v>8</v>
      </c>
      <c r="C2902" t="s">
        <v>6</v>
      </c>
      <c r="D2902">
        <v>89.970020980000001</v>
      </c>
    </row>
    <row r="2903" spans="1:4">
      <c r="A2903" t="s">
        <v>475</v>
      </c>
      <c r="B2903" t="s">
        <v>15</v>
      </c>
      <c r="C2903" t="s">
        <v>6</v>
      </c>
      <c r="D2903">
        <v>53.87594</v>
      </c>
    </row>
    <row r="2904" spans="1:4">
      <c r="A2904" t="s">
        <v>475</v>
      </c>
      <c r="B2904" t="s">
        <v>5</v>
      </c>
      <c r="C2904" t="s">
        <v>6</v>
      </c>
      <c r="D2904">
        <v>280.01600000000002</v>
      </c>
    </row>
    <row r="2905" spans="1:4">
      <c r="A2905" t="s">
        <v>475</v>
      </c>
      <c r="B2905" t="s">
        <v>15</v>
      </c>
      <c r="C2905" t="s">
        <v>5</v>
      </c>
      <c r="D2905">
        <v>280.01600000000002</v>
      </c>
    </row>
    <row r="2906" spans="1:4">
      <c r="A2906" t="s">
        <v>475</v>
      </c>
      <c r="B2906" t="s">
        <v>6</v>
      </c>
      <c r="C2906" t="s">
        <v>8</v>
      </c>
      <c r="D2906">
        <v>0</v>
      </c>
    </row>
    <row r="2907" spans="1:4">
      <c r="A2907" t="s">
        <v>475</v>
      </c>
      <c r="B2907" t="s">
        <v>16</v>
      </c>
      <c r="C2907" t="s">
        <v>15</v>
      </c>
      <c r="D2907">
        <v>85.787977769999998</v>
      </c>
    </row>
    <row r="2908" spans="1:4">
      <c r="A2908" t="s">
        <v>475</v>
      </c>
      <c r="B2908" t="s">
        <v>8</v>
      </c>
      <c r="C2908" t="s">
        <v>15</v>
      </c>
      <c r="D2908">
        <v>2.9763899999999999E-4</v>
      </c>
    </row>
    <row r="2909" spans="1:4">
      <c r="A2909" t="s">
        <v>479</v>
      </c>
      <c r="B2909" t="s">
        <v>678</v>
      </c>
      <c r="C2909" t="s">
        <v>678</v>
      </c>
      <c r="D2909">
        <v>9.7169650000000001</v>
      </c>
    </row>
    <row r="2910" spans="1:4">
      <c r="A2910" t="s">
        <v>479</v>
      </c>
      <c r="B2910" t="s">
        <v>10</v>
      </c>
      <c r="C2910" t="s">
        <v>678</v>
      </c>
      <c r="D2910">
        <v>84.858949999999993</v>
      </c>
    </row>
    <row r="2911" spans="1:4">
      <c r="A2911" t="s">
        <v>479</v>
      </c>
      <c r="B2911" t="s">
        <v>678</v>
      </c>
      <c r="C2911" t="s">
        <v>10</v>
      </c>
      <c r="D2911">
        <v>139.23051000000001</v>
      </c>
    </row>
    <row r="2912" spans="1:4">
      <c r="A2912" t="s">
        <v>479</v>
      </c>
      <c r="B2912" t="s">
        <v>10</v>
      </c>
      <c r="C2912" t="s">
        <v>10</v>
      </c>
      <c r="D2912">
        <v>924.79600000000005</v>
      </c>
    </row>
    <row r="2913" spans="1:4">
      <c r="A2913" t="s">
        <v>479</v>
      </c>
      <c r="B2913" t="s">
        <v>11</v>
      </c>
      <c r="C2913" t="s">
        <v>678</v>
      </c>
      <c r="D2913">
        <v>5.33967568</v>
      </c>
    </row>
    <row r="2914" spans="1:4">
      <c r="A2914" t="s">
        <v>479</v>
      </c>
      <c r="B2914" t="s">
        <v>11</v>
      </c>
      <c r="C2914" t="s">
        <v>10</v>
      </c>
      <c r="D2914">
        <v>51.0712513</v>
      </c>
    </row>
    <row r="2915" spans="1:4">
      <c r="A2915" t="s">
        <v>479</v>
      </c>
      <c r="B2915" t="s">
        <v>678</v>
      </c>
      <c r="C2915" t="s">
        <v>6</v>
      </c>
      <c r="D2915">
        <v>297.73160999999999</v>
      </c>
    </row>
    <row r="2916" spans="1:4">
      <c r="A2916" t="s">
        <v>479</v>
      </c>
      <c r="B2916" t="s">
        <v>10</v>
      </c>
      <c r="C2916" t="s">
        <v>6</v>
      </c>
      <c r="D2916">
        <v>798.5915</v>
      </c>
    </row>
    <row r="2917" spans="1:4">
      <c r="A2917" t="s">
        <v>479</v>
      </c>
      <c r="B2917" t="s">
        <v>11</v>
      </c>
      <c r="C2917" t="s">
        <v>6</v>
      </c>
      <c r="D2917">
        <v>62.529218200000003</v>
      </c>
    </row>
    <row r="2918" spans="1:4">
      <c r="A2918" t="s">
        <v>479</v>
      </c>
      <c r="B2918" t="s">
        <v>678</v>
      </c>
      <c r="C2918" t="s">
        <v>8</v>
      </c>
      <c r="D2918">
        <v>1.17353E-4</v>
      </c>
    </row>
    <row r="2919" spans="1:4">
      <c r="A2919" t="s">
        <v>479</v>
      </c>
      <c r="B2919" t="s">
        <v>10</v>
      </c>
      <c r="C2919" t="s">
        <v>8</v>
      </c>
      <c r="D2919">
        <v>421.59980999999999</v>
      </c>
    </row>
    <row r="2920" spans="1:4">
      <c r="A2920" t="s">
        <v>479</v>
      </c>
      <c r="B2920" t="s">
        <v>11</v>
      </c>
      <c r="C2920" t="s">
        <v>8</v>
      </c>
      <c r="D2920">
        <v>0</v>
      </c>
    </row>
    <row r="2921" spans="1:4">
      <c r="A2921" t="s">
        <v>479</v>
      </c>
      <c r="B2921" t="s">
        <v>678</v>
      </c>
      <c r="C2921" t="s">
        <v>15</v>
      </c>
      <c r="D2921">
        <v>0.30213164799999997</v>
      </c>
    </row>
    <row r="2922" spans="1:4">
      <c r="A2922" t="s">
        <v>479</v>
      </c>
      <c r="B2922" t="s">
        <v>10</v>
      </c>
      <c r="C2922" t="s">
        <v>15</v>
      </c>
      <c r="D2922">
        <v>370.11169999999998</v>
      </c>
    </row>
    <row r="2923" spans="1:4">
      <c r="A2923" t="s">
        <v>479</v>
      </c>
      <c r="B2923" t="s">
        <v>11</v>
      </c>
      <c r="C2923" t="s">
        <v>15</v>
      </c>
      <c r="D2923">
        <v>2.1463183030000001</v>
      </c>
    </row>
    <row r="2924" spans="1:4">
      <c r="A2924" t="s">
        <v>479</v>
      </c>
      <c r="B2924" t="s">
        <v>8</v>
      </c>
      <c r="C2924" t="s">
        <v>11</v>
      </c>
      <c r="D2924">
        <v>121.086463483</v>
      </c>
    </row>
    <row r="2925" spans="1:4">
      <c r="A2925" t="s">
        <v>479</v>
      </c>
      <c r="B2925" t="s">
        <v>678</v>
      </c>
      <c r="C2925" t="s">
        <v>7</v>
      </c>
      <c r="D2925">
        <v>0</v>
      </c>
    </row>
    <row r="2926" spans="1:4">
      <c r="A2926" t="s">
        <v>479</v>
      </c>
      <c r="B2926" t="s">
        <v>10</v>
      </c>
      <c r="C2926" t="s">
        <v>7</v>
      </c>
      <c r="D2926">
        <v>0</v>
      </c>
    </row>
    <row r="2927" spans="1:4">
      <c r="A2927" t="s">
        <v>479</v>
      </c>
      <c r="B2927" t="s">
        <v>7</v>
      </c>
      <c r="C2927" t="s">
        <v>8</v>
      </c>
      <c r="D2927">
        <v>0</v>
      </c>
    </row>
    <row r="2928" spans="1:4">
      <c r="A2928" t="s">
        <v>479</v>
      </c>
      <c r="B2928" t="s">
        <v>678</v>
      </c>
      <c r="C2928" t="s">
        <v>16</v>
      </c>
      <c r="D2928">
        <v>77.343586971999997</v>
      </c>
    </row>
    <row r="2929" spans="1:4">
      <c r="A2929" t="s">
        <v>479</v>
      </c>
      <c r="B2929" t="s">
        <v>10</v>
      </c>
      <c r="C2929" t="s">
        <v>16</v>
      </c>
      <c r="D2929">
        <v>288.93715230999999</v>
      </c>
    </row>
    <row r="2930" spans="1:4">
      <c r="A2930" t="s">
        <v>479</v>
      </c>
      <c r="B2930" t="s">
        <v>678</v>
      </c>
      <c r="C2930" t="s">
        <v>17</v>
      </c>
      <c r="D2930">
        <v>0</v>
      </c>
    </row>
    <row r="2931" spans="1:4">
      <c r="A2931" t="s">
        <v>479</v>
      </c>
      <c r="B2931" t="s">
        <v>10</v>
      </c>
      <c r="C2931" t="s">
        <v>17</v>
      </c>
      <c r="D2931">
        <v>11.48607</v>
      </c>
    </row>
    <row r="2932" spans="1:4">
      <c r="A2932" t="s">
        <v>479</v>
      </c>
      <c r="B2932" t="s">
        <v>17</v>
      </c>
      <c r="C2932" t="s">
        <v>16</v>
      </c>
      <c r="D2932">
        <v>11.48607</v>
      </c>
    </row>
    <row r="2933" spans="1:4">
      <c r="A2933" t="s">
        <v>479</v>
      </c>
      <c r="B2933" t="s">
        <v>14</v>
      </c>
      <c r="C2933" t="s">
        <v>678</v>
      </c>
      <c r="D2933">
        <v>231.53489999999999</v>
      </c>
    </row>
    <row r="2934" spans="1:4">
      <c r="A2934" t="s">
        <v>479</v>
      </c>
      <c r="B2934" t="s">
        <v>14</v>
      </c>
      <c r="C2934" t="s">
        <v>10</v>
      </c>
      <c r="D2934">
        <v>428.9717</v>
      </c>
    </row>
    <row r="2935" spans="1:4">
      <c r="A2935" t="s">
        <v>479</v>
      </c>
      <c r="B2935" t="s">
        <v>6</v>
      </c>
      <c r="C2935" t="s">
        <v>14</v>
      </c>
      <c r="D2935">
        <v>660.50660000000005</v>
      </c>
    </row>
    <row r="2936" spans="1:4">
      <c r="A2936" t="s">
        <v>479</v>
      </c>
      <c r="B2936" t="s">
        <v>8</v>
      </c>
      <c r="C2936" t="s">
        <v>14</v>
      </c>
      <c r="D2936">
        <v>0</v>
      </c>
    </row>
    <row r="2937" spans="1:4">
      <c r="A2937" t="s">
        <v>479</v>
      </c>
      <c r="B2937" t="s">
        <v>9</v>
      </c>
      <c r="C2937" t="s">
        <v>678</v>
      </c>
      <c r="D2937">
        <v>58.702249999999999</v>
      </c>
    </row>
    <row r="2938" spans="1:4">
      <c r="A2938" t="s">
        <v>479</v>
      </c>
      <c r="B2938" t="s">
        <v>9</v>
      </c>
      <c r="C2938" t="s">
        <v>10</v>
      </c>
      <c r="D2938">
        <v>0.71692860000000003</v>
      </c>
    </row>
    <row r="2939" spans="1:4">
      <c r="A2939" t="s">
        <v>479</v>
      </c>
      <c r="B2939" t="s">
        <v>6</v>
      </c>
      <c r="C2939" t="s">
        <v>9</v>
      </c>
      <c r="D2939">
        <v>59.419178600000002</v>
      </c>
    </row>
    <row r="2940" spans="1:4">
      <c r="A2940" t="s">
        <v>479</v>
      </c>
      <c r="B2940" t="s">
        <v>13</v>
      </c>
      <c r="C2940" t="s">
        <v>678</v>
      </c>
      <c r="D2940">
        <v>88.070819999999998</v>
      </c>
    </row>
    <row r="2941" spans="1:4">
      <c r="A2941" t="s">
        <v>479</v>
      </c>
      <c r="B2941" t="s">
        <v>13</v>
      </c>
      <c r="C2941" t="s">
        <v>10</v>
      </c>
      <c r="D2941">
        <v>377.73239999999998</v>
      </c>
    </row>
    <row r="2942" spans="1:4">
      <c r="A2942" t="s">
        <v>479</v>
      </c>
      <c r="B2942" t="s">
        <v>6</v>
      </c>
      <c r="C2942" t="s">
        <v>13</v>
      </c>
      <c r="D2942">
        <v>465.80322000000001</v>
      </c>
    </row>
    <row r="2943" spans="1:4">
      <c r="A2943" t="s">
        <v>479</v>
      </c>
      <c r="B2943" t="s">
        <v>8</v>
      </c>
      <c r="C2943" t="s">
        <v>678</v>
      </c>
      <c r="D2943">
        <v>-0.35296835500000001</v>
      </c>
    </row>
    <row r="2944" spans="1:4">
      <c r="A2944" t="s">
        <v>479</v>
      </c>
      <c r="B2944" t="s">
        <v>8</v>
      </c>
      <c r="C2944" t="s">
        <v>10</v>
      </c>
      <c r="D2944">
        <v>-0.90058758999999999</v>
      </c>
    </row>
    <row r="2945" spans="1:4">
      <c r="A2945" t="s">
        <v>479</v>
      </c>
      <c r="B2945" t="s">
        <v>12</v>
      </c>
      <c r="C2945" t="s">
        <v>678</v>
      </c>
      <c r="D2945">
        <v>1.9931337149999999</v>
      </c>
    </row>
    <row r="2946" spans="1:4">
      <c r="A2946" t="s">
        <v>479</v>
      </c>
      <c r="B2946" t="s">
        <v>12</v>
      </c>
      <c r="C2946" t="s">
        <v>10</v>
      </c>
      <c r="D2946">
        <v>108.816983996</v>
      </c>
    </row>
    <row r="2947" spans="1:4">
      <c r="A2947" t="s">
        <v>479</v>
      </c>
      <c r="B2947" t="s">
        <v>8</v>
      </c>
      <c r="C2947" t="s">
        <v>12</v>
      </c>
      <c r="D2947">
        <v>110.810117711</v>
      </c>
    </row>
    <row r="2948" spans="1:4">
      <c r="A2948" t="s">
        <v>479</v>
      </c>
      <c r="B2948" t="s">
        <v>16</v>
      </c>
      <c r="C2948" t="s">
        <v>678</v>
      </c>
      <c r="D2948">
        <v>44.461195916999998</v>
      </c>
    </row>
    <row r="2949" spans="1:4">
      <c r="A2949" t="s">
        <v>479</v>
      </c>
      <c r="B2949" t="s">
        <v>16</v>
      </c>
      <c r="C2949" t="s">
        <v>10</v>
      </c>
      <c r="D2949">
        <v>869.94605942299995</v>
      </c>
    </row>
    <row r="2950" spans="1:4">
      <c r="A2950" t="s">
        <v>479</v>
      </c>
      <c r="B2950" t="s">
        <v>790</v>
      </c>
      <c r="C2950" t="s">
        <v>678</v>
      </c>
      <c r="D2950">
        <v>0</v>
      </c>
    </row>
    <row r="2951" spans="1:4">
      <c r="A2951" t="s">
        <v>479</v>
      </c>
      <c r="B2951" t="s">
        <v>790</v>
      </c>
      <c r="C2951" t="s">
        <v>10</v>
      </c>
      <c r="D2951">
        <v>0</v>
      </c>
    </row>
    <row r="2952" spans="1:4">
      <c r="A2952" t="s">
        <v>479</v>
      </c>
      <c r="B2952" t="s">
        <v>8</v>
      </c>
      <c r="C2952" t="s">
        <v>790</v>
      </c>
      <c r="D2952">
        <v>0</v>
      </c>
    </row>
    <row r="2953" spans="1:4">
      <c r="A2953" t="s">
        <v>479</v>
      </c>
      <c r="B2953" t="s">
        <v>8</v>
      </c>
      <c r="C2953" t="s">
        <v>6</v>
      </c>
      <c r="D2953">
        <v>190.9564704</v>
      </c>
    </row>
    <row r="2954" spans="1:4">
      <c r="A2954" t="s">
        <v>479</v>
      </c>
      <c r="B2954" t="s">
        <v>15</v>
      </c>
      <c r="C2954" t="s">
        <v>6</v>
      </c>
      <c r="D2954">
        <v>-417.98989999999998</v>
      </c>
    </row>
    <row r="2955" spans="1:4">
      <c r="A2955" t="s">
        <v>479</v>
      </c>
      <c r="B2955" t="s">
        <v>5</v>
      </c>
      <c r="C2955" t="s">
        <v>6</v>
      </c>
      <c r="D2955">
        <v>253.9101</v>
      </c>
    </row>
    <row r="2956" spans="1:4">
      <c r="A2956" t="s">
        <v>479</v>
      </c>
      <c r="B2956" t="s">
        <v>15</v>
      </c>
      <c r="C2956" t="s">
        <v>5</v>
      </c>
      <c r="D2956">
        <v>253.9101</v>
      </c>
    </row>
    <row r="2957" spans="1:4">
      <c r="A2957" t="s">
        <v>479</v>
      </c>
      <c r="B2957" t="s">
        <v>6</v>
      </c>
      <c r="C2957" t="s">
        <v>8</v>
      </c>
      <c r="D2957">
        <v>0</v>
      </c>
    </row>
    <row r="2958" spans="1:4">
      <c r="A2958" t="s">
        <v>479</v>
      </c>
      <c r="B2958" t="s">
        <v>15</v>
      </c>
      <c r="C2958" t="s">
        <v>16</v>
      </c>
      <c r="D2958">
        <v>536.64044605799995</v>
      </c>
    </row>
    <row r="2959" spans="1:4">
      <c r="A2959" t="s">
        <v>479</v>
      </c>
      <c r="B2959" t="s">
        <v>8</v>
      </c>
      <c r="C2959" t="s">
        <v>15</v>
      </c>
      <c r="D2959">
        <v>4.3170399999999999E-4</v>
      </c>
    </row>
    <row r="2960" spans="1:4">
      <c r="A2960" t="s">
        <v>481</v>
      </c>
      <c r="B2960" t="s">
        <v>678</v>
      </c>
      <c r="C2960" t="s">
        <v>678</v>
      </c>
      <c r="D2960">
        <v>399.03585099999998</v>
      </c>
    </row>
    <row r="2961" spans="1:4">
      <c r="A2961" t="s">
        <v>481</v>
      </c>
      <c r="B2961" t="s">
        <v>10</v>
      </c>
      <c r="C2961" t="s">
        <v>678</v>
      </c>
      <c r="D2961">
        <v>707.33519999999999</v>
      </c>
    </row>
    <row r="2962" spans="1:4">
      <c r="A2962" t="s">
        <v>481</v>
      </c>
      <c r="B2962" t="s">
        <v>678</v>
      </c>
      <c r="C2962" t="s">
        <v>10</v>
      </c>
      <c r="D2962">
        <v>1135.9673600000001</v>
      </c>
    </row>
    <row r="2963" spans="1:4">
      <c r="A2963" t="s">
        <v>481</v>
      </c>
      <c r="B2963" t="s">
        <v>10</v>
      </c>
      <c r="C2963" t="s">
        <v>10</v>
      </c>
      <c r="D2963">
        <v>3876.5041000000001</v>
      </c>
    </row>
    <row r="2964" spans="1:4">
      <c r="A2964" t="s">
        <v>481</v>
      </c>
      <c r="B2964" t="s">
        <v>11</v>
      </c>
      <c r="C2964" t="s">
        <v>678</v>
      </c>
      <c r="D2964">
        <v>7.2957394000000004</v>
      </c>
    </row>
    <row r="2965" spans="1:4">
      <c r="A2965" t="s">
        <v>481</v>
      </c>
      <c r="B2965" t="s">
        <v>11</v>
      </c>
      <c r="C2965" t="s">
        <v>10</v>
      </c>
      <c r="D2965">
        <v>34.780240399999997</v>
      </c>
    </row>
    <row r="2966" spans="1:4">
      <c r="A2966" t="s">
        <v>481</v>
      </c>
      <c r="B2966" t="s">
        <v>678</v>
      </c>
      <c r="C2966" t="s">
        <v>6</v>
      </c>
      <c r="D2966">
        <v>2037.3724999999999</v>
      </c>
    </row>
    <row r="2967" spans="1:4">
      <c r="A2967" t="s">
        <v>481</v>
      </c>
      <c r="B2967" t="s">
        <v>10</v>
      </c>
      <c r="C2967" t="s">
        <v>6</v>
      </c>
      <c r="D2967">
        <v>3742.0536999999999</v>
      </c>
    </row>
    <row r="2968" spans="1:4">
      <c r="A2968" t="s">
        <v>481</v>
      </c>
      <c r="B2968" t="s">
        <v>11</v>
      </c>
      <c r="C2968" t="s">
        <v>6</v>
      </c>
      <c r="D2968">
        <v>140.52578099999999</v>
      </c>
    </row>
    <row r="2969" spans="1:4">
      <c r="A2969" t="s">
        <v>481</v>
      </c>
      <c r="B2969" t="s">
        <v>678</v>
      </c>
      <c r="C2969" t="s">
        <v>8</v>
      </c>
      <c r="D2969">
        <v>1.7285600000000001E-4</v>
      </c>
    </row>
    <row r="2970" spans="1:4">
      <c r="A2970" t="s">
        <v>481</v>
      </c>
      <c r="B2970" t="s">
        <v>10</v>
      </c>
      <c r="C2970" t="s">
        <v>8</v>
      </c>
      <c r="D2970">
        <v>707.99904100000003</v>
      </c>
    </row>
    <row r="2971" spans="1:4">
      <c r="A2971" t="s">
        <v>481</v>
      </c>
      <c r="B2971" t="s">
        <v>11</v>
      </c>
      <c r="C2971" t="s">
        <v>8</v>
      </c>
      <c r="D2971">
        <v>0</v>
      </c>
    </row>
    <row r="2972" spans="1:4">
      <c r="A2972" t="s">
        <v>481</v>
      </c>
      <c r="B2972" t="s">
        <v>678</v>
      </c>
      <c r="C2972" t="s">
        <v>15</v>
      </c>
      <c r="D2972">
        <v>2.1931030000000001E-3</v>
      </c>
    </row>
    <row r="2973" spans="1:4">
      <c r="A2973" t="s">
        <v>481</v>
      </c>
      <c r="B2973" t="s">
        <v>10</v>
      </c>
      <c r="C2973" t="s">
        <v>15</v>
      </c>
      <c r="D2973">
        <v>1118.5455999999999</v>
      </c>
    </row>
    <row r="2974" spans="1:4">
      <c r="A2974" t="s">
        <v>481</v>
      </c>
      <c r="B2974" t="s">
        <v>11</v>
      </c>
      <c r="C2974" t="s">
        <v>15</v>
      </c>
      <c r="D2974">
        <v>19.271649</v>
      </c>
    </row>
    <row r="2975" spans="1:4">
      <c r="A2975" t="s">
        <v>481</v>
      </c>
      <c r="B2975" t="s">
        <v>8</v>
      </c>
      <c r="C2975" t="s">
        <v>11</v>
      </c>
      <c r="D2975">
        <v>201.87340979999999</v>
      </c>
    </row>
    <row r="2976" spans="1:4">
      <c r="A2976" t="s">
        <v>481</v>
      </c>
      <c r="B2976" t="s">
        <v>678</v>
      </c>
      <c r="C2976" t="s">
        <v>7</v>
      </c>
      <c r="D2976">
        <v>0</v>
      </c>
    </row>
    <row r="2977" spans="1:4">
      <c r="A2977" t="s">
        <v>481</v>
      </c>
      <c r="B2977" t="s">
        <v>10</v>
      </c>
      <c r="C2977" t="s">
        <v>7</v>
      </c>
      <c r="D2977">
        <v>0</v>
      </c>
    </row>
    <row r="2978" spans="1:4">
      <c r="A2978" t="s">
        <v>481</v>
      </c>
      <c r="B2978" t="s">
        <v>7</v>
      </c>
      <c r="C2978" t="s">
        <v>8</v>
      </c>
      <c r="D2978">
        <v>0</v>
      </c>
    </row>
    <row r="2979" spans="1:4">
      <c r="A2979" t="s">
        <v>481</v>
      </c>
      <c r="B2979" t="s">
        <v>678</v>
      </c>
      <c r="C2979" t="s">
        <v>16</v>
      </c>
      <c r="D2979">
        <v>470.96570208700001</v>
      </c>
    </row>
    <row r="2980" spans="1:4">
      <c r="A2980" t="s">
        <v>481</v>
      </c>
      <c r="B2980" t="s">
        <v>10</v>
      </c>
      <c r="C2980" t="s">
        <v>16</v>
      </c>
      <c r="D2980">
        <v>801.11651140000004</v>
      </c>
    </row>
    <row r="2981" spans="1:4">
      <c r="A2981" t="s">
        <v>481</v>
      </c>
      <c r="B2981" t="s">
        <v>678</v>
      </c>
      <c r="C2981" t="s">
        <v>17</v>
      </c>
      <c r="D2981">
        <v>0</v>
      </c>
    </row>
    <row r="2982" spans="1:4">
      <c r="A2982" t="s">
        <v>481</v>
      </c>
      <c r="B2982" t="s">
        <v>10</v>
      </c>
      <c r="C2982" t="s">
        <v>17</v>
      </c>
      <c r="D2982">
        <v>9.7456329999999998</v>
      </c>
    </row>
    <row r="2983" spans="1:4">
      <c r="A2983" t="s">
        <v>481</v>
      </c>
      <c r="B2983" t="s">
        <v>17</v>
      </c>
      <c r="C2983" t="s">
        <v>16</v>
      </c>
      <c r="D2983">
        <v>9.7456329999999998</v>
      </c>
    </row>
    <row r="2984" spans="1:4">
      <c r="A2984" t="s">
        <v>481</v>
      </c>
      <c r="B2984" t="s">
        <v>14</v>
      </c>
      <c r="C2984" t="s">
        <v>678</v>
      </c>
      <c r="D2984">
        <v>2041.066</v>
      </c>
    </row>
    <row r="2985" spans="1:4">
      <c r="A2985" t="s">
        <v>481</v>
      </c>
      <c r="B2985" t="s">
        <v>14</v>
      </c>
      <c r="C2985" t="s">
        <v>10</v>
      </c>
      <c r="D2985">
        <v>1589.7639999999999</v>
      </c>
    </row>
    <row r="2986" spans="1:4">
      <c r="A2986" t="s">
        <v>481</v>
      </c>
      <c r="B2986" t="s">
        <v>6</v>
      </c>
      <c r="C2986" t="s">
        <v>14</v>
      </c>
      <c r="D2986">
        <v>3630.83</v>
      </c>
    </row>
    <row r="2987" spans="1:4">
      <c r="A2987" t="s">
        <v>481</v>
      </c>
      <c r="B2987" t="s">
        <v>8</v>
      </c>
      <c r="C2987" t="s">
        <v>14</v>
      </c>
      <c r="D2987">
        <v>0</v>
      </c>
    </row>
    <row r="2988" spans="1:4">
      <c r="A2988" t="s">
        <v>481</v>
      </c>
      <c r="B2988" t="s">
        <v>9</v>
      </c>
      <c r="C2988" t="s">
        <v>678</v>
      </c>
      <c r="D2988">
        <v>363.01330999999999</v>
      </c>
    </row>
    <row r="2989" spans="1:4">
      <c r="A2989" t="s">
        <v>481</v>
      </c>
      <c r="B2989" t="s">
        <v>9</v>
      </c>
      <c r="C2989" t="s">
        <v>10</v>
      </c>
      <c r="D2989">
        <v>9.4355309999999992</v>
      </c>
    </row>
    <row r="2990" spans="1:4">
      <c r="A2990" t="s">
        <v>481</v>
      </c>
      <c r="B2990" t="s">
        <v>6</v>
      </c>
      <c r="C2990" t="s">
        <v>9</v>
      </c>
      <c r="D2990">
        <v>372.44884100000002</v>
      </c>
    </row>
    <row r="2991" spans="1:4">
      <c r="A2991" t="s">
        <v>481</v>
      </c>
      <c r="B2991" t="s">
        <v>13</v>
      </c>
      <c r="C2991" t="s">
        <v>678</v>
      </c>
      <c r="D2991">
        <v>438.63260000000002</v>
      </c>
    </row>
    <row r="2992" spans="1:4">
      <c r="A2992" t="s">
        <v>481</v>
      </c>
      <c r="B2992" t="s">
        <v>13</v>
      </c>
      <c r="C2992" t="s">
        <v>10</v>
      </c>
      <c r="D2992">
        <v>2116.2539999999999</v>
      </c>
    </row>
    <row r="2993" spans="1:4">
      <c r="A2993" t="s">
        <v>481</v>
      </c>
      <c r="B2993" t="s">
        <v>6</v>
      </c>
      <c r="C2993" t="s">
        <v>13</v>
      </c>
      <c r="D2993">
        <v>2554.8865999999998</v>
      </c>
    </row>
    <row r="2994" spans="1:4">
      <c r="A2994" t="s">
        <v>481</v>
      </c>
      <c r="B2994" t="s">
        <v>8</v>
      </c>
      <c r="C2994" t="s">
        <v>678</v>
      </c>
      <c r="D2994">
        <v>27.103281474999999</v>
      </c>
    </row>
    <row r="2995" spans="1:4">
      <c r="A2995" t="s">
        <v>481</v>
      </c>
      <c r="B2995" t="s">
        <v>8</v>
      </c>
      <c r="C2995" t="s">
        <v>10</v>
      </c>
      <c r="D2995">
        <v>74.608213000000006</v>
      </c>
    </row>
    <row r="2996" spans="1:4">
      <c r="A2996" t="s">
        <v>481</v>
      </c>
      <c r="B2996" t="s">
        <v>12</v>
      </c>
      <c r="C2996" t="s">
        <v>678</v>
      </c>
      <c r="D2996">
        <v>4.190721881</v>
      </c>
    </row>
    <row r="2997" spans="1:4">
      <c r="A2997" t="s">
        <v>481</v>
      </c>
      <c r="B2997" t="s">
        <v>12</v>
      </c>
      <c r="C2997" t="s">
        <v>10</v>
      </c>
      <c r="D2997">
        <v>159.868490509</v>
      </c>
    </row>
    <row r="2998" spans="1:4">
      <c r="A2998" t="s">
        <v>481</v>
      </c>
      <c r="B2998" t="s">
        <v>8</v>
      </c>
      <c r="C2998" t="s">
        <v>12</v>
      </c>
      <c r="D2998">
        <v>164.05921238900001</v>
      </c>
    </row>
    <row r="2999" spans="1:4">
      <c r="A2999" t="s">
        <v>481</v>
      </c>
      <c r="B2999" t="s">
        <v>16</v>
      </c>
      <c r="C2999" t="s">
        <v>678</v>
      </c>
      <c r="D2999">
        <v>55.671070254999997</v>
      </c>
    </row>
    <row r="3000" spans="1:4">
      <c r="A3000" t="s">
        <v>481</v>
      </c>
      <c r="B3000" t="s">
        <v>16</v>
      </c>
      <c r="C3000" t="s">
        <v>10</v>
      </c>
      <c r="D3000">
        <v>1966.118188247</v>
      </c>
    </row>
    <row r="3001" spans="1:4">
      <c r="A3001" t="s">
        <v>481</v>
      </c>
      <c r="B3001" t="s">
        <v>790</v>
      </c>
      <c r="C3001" t="s">
        <v>678</v>
      </c>
      <c r="D3001">
        <v>0</v>
      </c>
    </row>
    <row r="3002" spans="1:4">
      <c r="A3002" t="s">
        <v>481</v>
      </c>
      <c r="B3002" t="s">
        <v>790</v>
      </c>
      <c r="C3002" t="s">
        <v>10</v>
      </c>
      <c r="D3002">
        <v>0</v>
      </c>
    </row>
    <row r="3003" spans="1:4">
      <c r="A3003" t="s">
        <v>481</v>
      </c>
      <c r="B3003" t="s">
        <v>8</v>
      </c>
      <c r="C3003" t="s">
        <v>790</v>
      </c>
      <c r="D3003">
        <v>0</v>
      </c>
    </row>
    <row r="3004" spans="1:4">
      <c r="A3004" t="s">
        <v>481</v>
      </c>
      <c r="B3004" t="s">
        <v>8</v>
      </c>
      <c r="C3004" t="s">
        <v>6</v>
      </c>
      <c r="D3004">
        <v>240.35278</v>
      </c>
    </row>
    <row r="3005" spans="1:4">
      <c r="A3005" t="s">
        <v>481</v>
      </c>
      <c r="B3005" t="s">
        <v>15</v>
      </c>
      <c r="C3005" t="s">
        <v>6</v>
      </c>
      <c r="D3005">
        <v>-29.722519999999999</v>
      </c>
    </row>
    <row r="3006" spans="1:4">
      <c r="A3006" t="s">
        <v>481</v>
      </c>
      <c r="B3006" t="s">
        <v>5</v>
      </c>
      <c r="C3006" t="s">
        <v>6</v>
      </c>
      <c r="D3006">
        <v>427.58319999999998</v>
      </c>
    </row>
    <row r="3007" spans="1:4">
      <c r="A3007" t="s">
        <v>481</v>
      </c>
      <c r="B3007" t="s">
        <v>15</v>
      </c>
      <c r="C3007" t="s">
        <v>5</v>
      </c>
      <c r="D3007">
        <v>427.58319999999998</v>
      </c>
    </row>
    <row r="3008" spans="1:4">
      <c r="A3008" t="s">
        <v>481</v>
      </c>
      <c r="B3008" t="s">
        <v>6</v>
      </c>
      <c r="C3008" t="s">
        <v>8</v>
      </c>
      <c r="D3008">
        <v>0</v>
      </c>
    </row>
    <row r="3009" spans="1:4">
      <c r="A3009" t="s">
        <v>481</v>
      </c>
      <c r="B3009" t="s">
        <v>15</v>
      </c>
      <c r="C3009" t="s">
        <v>16</v>
      </c>
      <c r="D3009">
        <v>739.96141201499995</v>
      </c>
    </row>
    <row r="3010" spans="1:4">
      <c r="A3010" t="s">
        <v>481</v>
      </c>
      <c r="B3010" t="s">
        <v>8</v>
      </c>
      <c r="C3010" t="s">
        <v>15</v>
      </c>
      <c r="D3010">
        <v>2.317192E-3</v>
      </c>
    </row>
    <row r="3011" spans="1:4">
      <c r="A3011" t="s">
        <v>483</v>
      </c>
      <c r="B3011" t="s">
        <v>678</v>
      </c>
      <c r="C3011" t="s">
        <v>678</v>
      </c>
      <c r="D3011">
        <v>47.837603999999999</v>
      </c>
    </row>
    <row r="3012" spans="1:4">
      <c r="A3012" t="s">
        <v>483</v>
      </c>
      <c r="B3012" t="s">
        <v>10</v>
      </c>
      <c r="C3012" t="s">
        <v>678</v>
      </c>
      <c r="D3012">
        <v>448.7937</v>
      </c>
    </row>
    <row r="3013" spans="1:4">
      <c r="A3013" t="s">
        <v>483</v>
      </c>
      <c r="B3013" t="s">
        <v>678</v>
      </c>
      <c r="C3013" t="s">
        <v>10</v>
      </c>
      <c r="D3013">
        <v>491.17939999999999</v>
      </c>
    </row>
    <row r="3014" spans="1:4">
      <c r="A3014" t="s">
        <v>483</v>
      </c>
      <c r="B3014" t="s">
        <v>10</v>
      </c>
      <c r="C3014" t="s">
        <v>10</v>
      </c>
      <c r="D3014">
        <v>3516.2773999999999</v>
      </c>
    </row>
    <row r="3015" spans="1:4">
      <c r="A3015" t="s">
        <v>483</v>
      </c>
      <c r="B3015" t="s">
        <v>11</v>
      </c>
      <c r="C3015" t="s">
        <v>678</v>
      </c>
      <c r="D3015">
        <v>6.6330644129999996</v>
      </c>
    </row>
    <row r="3016" spans="1:4">
      <c r="A3016" t="s">
        <v>483</v>
      </c>
      <c r="B3016" t="s">
        <v>11</v>
      </c>
      <c r="C3016" t="s">
        <v>10</v>
      </c>
      <c r="D3016">
        <v>34.377750272</v>
      </c>
    </row>
    <row r="3017" spans="1:4">
      <c r="A3017" t="s">
        <v>483</v>
      </c>
      <c r="B3017" t="s">
        <v>678</v>
      </c>
      <c r="C3017" t="s">
        <v>6</v>
      </c>
      <c r="D3017">
        <v>899.45534999999995</v>
      </c>
    </row>
    <row r="3018" spans="1:4">
      <c r="A3018" t="s">
        <v>483</v>
      </c>
      <c r="B3018" t="s">
        <v>10</v>
      </c>
      <c r="C3018" t="s">
        <v>6</v>
      </c>
      <c r="D3018">
        <v>2183.9627999999998</v>
      </c>
    </row>
    <row r="3019" spans="1:4">
      <c r="A3019" t="s">
        <v>483</v>
      </c>
      <c r="B3019" t="s">
        <v>11</v>
      </c>
      <c r="C3019" t="s">
        <v>6</v>
      </c>
      <c r="D3019">
        <v>39.443253439999999</v>
      </c>
    </row>
    <row r="3020" spans="1:4">
      <c r="A3020" t="s">
        <v>483</v>
      </c>
      <c r="B3020" t="s">
        <v>678</v>
      </c>
      <c r="C3020" t="s">
        <v>8</v>
      </c>
      <c r="D3020">
        <v>1.10433E-4</v>
      </c>
    </row>
    <row r="3021" spans="1:4">
      <c r="A3021" t="s">
        <v>483</v>
      </c>
      <c r="B3021" t="s">
        <v>10</v>
      </c>
      <c r="C3021" t="s">
        <v>8</v>
      </c>
      <c r="D3021">
        <v>442.75361120000002</v>
      </c>
    </row>
    <row r="3022" spans="1:4">
      <c r="A3022" t="s">
        <v>483</v>
      </c>
      <c r="B3022" t="s">
        <v>11</v>
      </c>
      <c r="C3022" t="s">
        <v>8</v>
      </c>
      <c r="D3022">
        <v>0</v>
      </c>
    </row>
    <row r="3023" spans="1:4">
      <c r="A3023" t="s">
        <v>483</v>
      </c>
      <c r="B3023" t="s">
        <v>678</v>
      </c>
      <c r="C3023" t="s">
        <v>15</v>
      </c>
      <c r="D3023">
        <v>7.8296300000000002E-4</v>
      </c>
    </row>
    <row r="3024" spans="1:4">
      <c r="A3024" t="s">
        <v>483</v>
      </c>
      <c r="B3024" t="s">
        <v>10</v>
      </c>
      <c r="C3024" t="s">
        <v>15</v>
      </c>
      <c r="D3024">
        <v>513.25559999999996</v>
      </c>
    </row>
    <row r="3025" spans="1:4">
      <c r="A3025" t="s">
        <v>483</v>
      </c>
      <c r="B3025" t="s">
        <v>11</v>
      </c>
      <c r="C3025" t="s">
        <v>15</v>
      </c>
      <c r="D3025">
        <v>0.24652652</v>
      </c>
    </row>
    <row r="3026" spans="1:4">
      <c r="A3026" t="s">
        <v>483</v>
      </c>
      <c r="B3026" t="s">
        <v>8</v>
      </c>
      <c r="C3026" t="s">
        <v>11</v>
      </c>
      <c r="D3026">
        <v>80.700594644999995</v>
      </c>
    </row>
    <row r="3027" spans="1:4">
      <c r="A3027" t="s">
        <v>483</v>
      </c>
      <c r="B3027" t="s">
        <v>678</v>
      </c>
      <c r="C3027" t="s">
        <v>7</v>
      </c>
      <c r="D3027">
        <v>0</v>
      </c>
    </row>
    <row r="3028" spans="1:4">
      <c r="A3028" t="s">
        <v>483</v>
      </c>
      <c r="B3028" t="s">
        <v>10</v>
      </c>
      <c r="C3028" t="s">
        <v>7</v>
      </c>
      <c r="D3028">
        <v>0</v>
      </c>
    </row>
    <row r="3029" spans="1:4">
      <c r="A3029" t="s">
        <v>483</v>
      </c>
      <c r="B3029" t="s">
        <v>7</v>
      </c>
      <c r="C3029" t="s">
        <v>8</v>
      </c>
      <c r="D3029">
        <v>0</v>
      </c>
    </row>
    <row r="3030" spans="1:4">
      <c r="A3030" t="s">
        <v>483</v>
      </c>
      <c r="B3030" t="s">
        <v>678</v>
      </c>
      <c r="C3030" t="s">
        <v>16</v>
      </c>
      <c r="D3030">
        <v>51.482220881000003</v>
      </c>
    </row>
    <row r="3031" spans="1:4">
      <c r="A3031" t="s">
        <v>483</v>
      </c>
      <c r="B3031" t="s">
        <v>10</v>
      </c>
      <c r="C3031" t="s">
        <v>16</v>
      </c>
      <c r="D3031">
        <v>1002.5333949</v>
      </c>
    </row>
    <row r="3032" spans="1:4">
      <c r="A3032" t="s">
        <v>483</v>
      </c>
      <c r="B3032" t="s">
        <v>678</v>
      </c>
      <c r="C3032" t="s">
        <v>17</v>
      </c>
      <c r="D3032">
        <v>0</v>
      </c>
    </row>
    <row r="3033" spans="1:4">
      <c r="A3033" t="s">
        <v>483</v>
      </c>
      <c r="B3033" t="s">
        <v>10</v>
      </c>
      <c r="C3033" t="s">
        <v>17</v>
      </c>
      <c r="D3033">
        <v>23.23386</v>
      </c>
    </row>
    <row r="3034" spans="1:4">
      <c r="A3034" t="s">
        <v>483</v>
      </c>
      <c r="B3034" t="s">
        <v>17</v>
      </c>
      <c r="C3034" t="s">
        <v>16</v>
      </c>
      <c r="D3034">
        <v>23.23386</v>
      </c>
    </row>
    <row r="3035" spans="1:4">
      <c r="A3035" t="s">
        <v>483</v>
      </c>
      <c r="B3035" t="s">
        <v>14</v>
      </c>
      <c r="C3035" t="s">
        <v>678</v>
      </c>
      <c r="D3035">
        <v>545.73429999999996</v>
      </c>
    </row>
    <row r="3036" spans="1:4">
      <c r="A3036" t="s">
        <v>483</v>
      </c>
      <c r="B3036" t="s">
        <v>14</v>
      </c>
      <c r="C3036" t="s">
        <v>10</v>
      </c>
      <c r="D3036">
        <v>1364.3019999999999</v>
      </c>
    </row>
    <row r="3037" spans="1:4">
      <c r="A3037" t="s">
        <v>483</v>
      </c>
      <c r="B3037" t="s">
        <v>6</v>
      </c>
      <c r="C3037" t="s">
        <v>14</v>
      </c>
      <c r="D3037">
        <v>1910.0363</v>
      </c>
    </row>
    <row r="3038" spans="1:4">
      <c r="A3038" t="s">
        <v>483</v>
      </c>
      <c r="B3038" t="s">
        <v>8</v>
      </c>
      <c r="C3038" t="s">
        <v>14</v>
      </c>
      <c r="D3038">
        <v>0</v>
      </c>
    </row>
    <row r="3039" spans="1:4">
      <c r="A3039" t="s">
        <v>483</v>
      </c>
      <c r="B3039" t="s">
        <v>9</v>
      </c>
      <c r="C3039" t="s">
        <v>678</v>
      </c>
      <c r="D3039">
        <v>156.13126</v>
      </c>
    </row>
    <row r="3040" spans="1:4">
      <c r="A3040" t="s">
        <v>483</v>
      </c>
      <c r="B3040" t="s">
        <v>9</v>
      </c>
      <c r="C3040" t="s">
        <v>10</v>
      </c>
      <c r="D3040">
        <v>7.7849089999999999</v>
      </c>
    </row>
    <row r="3041" spans="1:4">
      <c r="A3041" t="s">
        <v>483</v>
      </c>
      <c r="B3041" t="s">
        <v>6</v>
      </c>
      <c r="C3041" t="s">
        <v>9</v>
      </c>
      <c r="D3041">
        <v>163.916169</v>
      </c>
    </row>
    <row r="3042" spans="1:4">
      <c r="A3042" t="s">
        <v>483</v>
      </c>
      <c r="B3042" t="s">
        <v>13</v>
      </c>
      <c r="C3042" t="s">
        <v>678</v>
      </c>
      <c r="D3042">
        <v>259.41820000000001</v>
      </c>
    </row>
    <row r="3043" spans="1:4">
      <c r="A3043" t="s">
        <v>483</v>
      </c>
      <c r="B3043" t="s">
        <v>13</v>
      </c>
      <c r="C3043" t="s">
        <v>10</v>
      </c>
      <c r="D3043">
        <v>1526.1880000000001</v>
      </c>
    </row>
    <row r="3044" spans="1:4">
      <c r="A3044" t="s">
        <v>483</v>
      </c>
      <c r="B3044" t="s">
        <v>6</v>
      </c>
      <c r="C3044" t="s">
        <v>13</v>
      </c>
      <c r="D3044">
        <v>1785.6061999999999</v>
      </c>
    </row>
    <row r="3045" spans="1:4">
      <c r="A3045" t="s">
        <v>483</v>
      </c>
      <c r="B3045" t="s">
        <v>8</v>
      </c>
      <c r="C3045" t="s">
        <v>678</v>
      </c>
      <c r="D3045">
        <v>9.0628246810000004</v>
      </c>
    </row>
    <row r="3046" spans="1:4">
      <c r="A3046" t="s">
        <v>483</v>
      </c>
      <c r="B3046" t="s">
        <v>8</v>
      </c>
      <c r="C3046" t="s">
        <v>10</v>
      </c>
      <c r="D3046">
        <v>165.188595628</v>
      </c>
    </row>
    <row r="3047" spans="1:4">
      <c r="A3047" t="s">
        <v>483</v>
      </c>
      <c r="B3047" t="s">
        <v>12</v>
      </c>
      <c r="C3047" t="s">
        <v>678</v>
      </c>
      <c r="D3047">
        <v>0.87875607200000005</v>
      </c>
    </row>
    <row r="3048" spans="1:4">
      <c r="A3048" t="s">
        <v>483</v>
      </c>
      <c r="B3048" t="s">
        <v>12</v>
      </c>
      <c r="C3048" t="s">
        <v>10</v>
      </c>
      <c r="D3048">
        <v>78.041532427999996</v>
      </c>
    </row>
    <row r="3049" spans="1:4">
      <c r="A3049" t="s">
        <v>483</v>
      </c>
      <c r="B3049" t="s">
        <v>8</v>
      </c>
      <c r="C3049" t="s">
        <v>12</v>
      </c>
      <c r="D3049">
        <v>78.920288499999998</v>
      </c>
    </row>
    <row r="3050" spans="1:4">
      <c r="A3050" t="s">
        <v>483</v>
      </c>
      <c r="B3050" t="s">
        <v>16</v>
      </c>
      <c r="C3050" t="s">
        <v>678</v>
      </c>
      <c r="D3050">
        <v>15.465756939</v>
      </c>
    </row>
    <row r="3051" spans="1:4">
      <c r="A3051" t="s">
        <v>483</v>
      </c>
      <c r="B3051" t="s">
        <v>16</v>
      </c>
      <c r="C3051" t="s">
        <v>10</v>
      </c>
      <c r="D3051">
        <v>947.47076106099996</v>
      </c>
    </row>
    <row r="3052" spans="1:4">
      <c r="A3052" t="s">
        <v>483</v>
      </c>
      <c r="B3052" t="s">
        <v>790</v>
      </c>
      <c r="C3052" t="s">
        <v>678</v>
      </c>
      <c r="D3052">
        <v>0</v>
      </c>
    </row>
    <row r="3053" spans="1:4">
      <c r="A3053" t="s">
        <v>483</v>
      </c>
      <c r="B3053" t="s">
        <v>790</v>
      </c>
      <c r="C3053" t="s">
        <v>10</v>
      </c>
      <c r="D3053">
        <v>0</v>
      </c>
    </row>
    <row r="3054" spans="1:4">
      <c r="A3054" t="s">
        <v>483</v>
      </c>
      <c r="B3054" t="s">
        <v>8</v>
      </c>
      <c r="C3054" t="s">
        <v>790</v>
      </c>
      <c r="D3054">
        <v>0</v>
      </c>
    </row>
    <row r="3055" spans="1:4">
      <c r="A3055" t="s">
        <v>483</v>
      </c>
      <c r="B3055" t="s">
        <v>8</v>
      </c>
      <c r="C3055" t="s">
        <v>6</v>
      </c>
      <c r="D3055">
        <v>108.88126556</v>
      </c>
    </row>
    <row r="3056" spans="1:4">
      <c r="A3056" t="s">
        <v>483</v>
      </c>
      <c r="B3056" t="s">
        <v>15</v>
      </c>
      <c r="C3056" t="s">
        <v>6</v>
      </c>
      <c r="D3056">
        <v>223.47839999999999</v>
      </c>
    </row>
    <row r="3057" spans="1:4">
      <c r="A3057" t="s">
        <v>483</v>
      </c>
      <c r="B3057" t="s">
        <v>5</v>
      </c>
      <c r="C3057" t="s">
        <v>6</v>
      </c>
      <c r="D3057">
        <v>404.33760000000001</v>
      </c>
    </row>
    <row r="3058" spans="1:4">
      <c r="A3058" t="s">
        <v>483</v>
      </c>
      <c r="B3058" t="s">
        <v>15</v>
      </c>
      <c r="C3058" t="s">
        <v>5</v>
      </c>
      <c r="D3058">
        <v>404.33760000000001</v>
      </c>
    </row>
    <row r="3059" spans="1:4">
      <c r="A3059" t="s">
        <v>483</v>
      </c>
      <c r="B3059" t="s">
        <v>6</v>
      </c>
      <c r="C3059" t="s">
        <v>8</v>
      </c>
      <c r="D3059">
        <v>0</v>
      </c>
    </row>
    <row r="3060" spans="1:4">
      <c r="A3060" t="s">
        <v>483</v>
      </c>
      <c r="B3060" t="s">
        <v>16</v>
      </c>
      <c r="C3060" t="s">
        <v>15</v>
      </c>
      <c r="D3060">
        <v>114.31295778099999</v>
      </c>
    </row>
    <row r="3061" spans="1:4">
      <c r="A3061" t="s">
        <v>483</v>
      </c>
      <c r="B3061" t="s">
        <v>8</v>
      </c>
      <c r="C3061" t="s">
        <v>15</v>
      </c>
      <c r="D3061">
        <v>1.52619E-4</v>
      </c>
    </row>
    <row r="3062" spans="1:4">
      <c r="A3062" t="s">
        <v>485</v>
      </c>
      <c r="B3062" t="s">
        <v>678</v>
      </c>
      <c r="C3062" t="s">
        <v>678</v>
      </c>
      <c r="D3062">
        <v>67.464839999999995</v>
      </c>
    </row>
    <row r="3063" spans="1:4">
      <c r="A3063" t="s">
        <v>485</v>
      </c>
      <c r="B3063" t="s">
        <v>10</v>
      </c>
      <c r="C3063" t="s">
        <v>678</v>
      </c>
      <c r="D3063">
        <v>1236.6175000000001</v>
      </c>
    </row>
    <row r="3064" spans="1:4">
      <c r="A3064" t="s">
        <v>485</v>
      </c>
      <c r="B3064" t="s">
        <v>678</v>
      </c>
      <c r="C3064" t="s">
        <v>10</v>
      </c>
      <c r="D3064">
        <v>896.73051999999996</v>
      </c>
    </row>
    <row r="3065" spans="1:4">
      <c r="A3065" t="s">
        <v>485</v>
      </c>
      <c r="B3065" t="s">
        <v>10</v>
      </c>
      <c r="C3065" t="s">
        <v>10</v>
      </c>
      <c r="D3065">
        <v>5197.8059999999996</v>
      </c>
    </row>
    <row r="3066" spans="1:4">
      <c r="A3066" t="s">
        <v>485</v>
      </c>
      <c r="B3066" t="s">
        <v>11</v>
      </c>
      <c r="C3066" t="s">
        <v>678</v>
      </c>
      <c r="D3066">
        <v>0</v>
      </c>
    </row>
    <row r="3067" spans="1:4">
      <c r="A3067" t="s">
        <v>485</v>
      </c>
      <c r="B3067" t="s">
        <v>11</v>
      </c>
      <c r="C3067" t="s">
        <v>10</v>
      </c>
      <c r="D3067">
        <v>0</v>
      </c>
    </row>
    <row r="3068" spans="1:4">
      <c r="A3068" t="s">
        <v>485</v>
      </c>
      <c r="B3068" t="s">
        <v>678</v>
      </c>
      <c r="C3068" t="s">
        <v>6</v>
      </c>
      <c r="D3068">
        <v>437.85935000000001</v>
      </c>
    </row>
    <row r="3069" spans="1:4">
      <c r="A3069" t="s">
        <v>485</v>
      </c>
      <c r="B3069" t="s">
        <v>10</v>
      </c>
      <c r="C3069" t="s">
        <v>6</v>
      </c>
      <c r="D3069">
        <v>4834.6544999999996</v>
      </c>
    </row>
    <row r="3070" spans="1:4">
      <c r="A3070" t="s">
        <v>485</v>
      </c>
      <c r="B3070" t="s">
        <v>11</v>
      </c>
      <c r="C3070" t="s">
        <v>6</v>
      </c>
      <c r="D3070">
        <v>0</v>
      </c>
    </row>
    <row r="3071" spans="1:4">
      <c r="A3071" t="s">
        <v>485</v>
      </c>
      <c r="B3071" t="s">
        <v>678</v>
      </c>
      <c r="C3071" t="s">
        <v>8</v>
      </c>
      <c r="D3071">
        <v>3.63476E-4</v>
      </c>
    </row>
    <row r="3072" spans="1:4">
      <c r="A3072" t="s">
        <v>485</v>
      </c>
      <c r="B3072" t="s">
        <v>10</v>
      </c>
      <c r="C3072" t="s">
        <v>8</v>
      </c>
      <c r="D3072">
        <v>1434.4539500000001</v>
      </c>
    </row>
    <row r="3073" spans="1:4">
      <c r="A3073" t="s">
        <v>485</v>
      </c>
      <c r="B3073" t="s">
        <v>11</v>
      </c>
      <c r="C3073" t="s">
        <v>8</v>
      </c>
      <c r="D3073">
        <v>0</v>
      </c>
    </row>
    <row r="3074" spans="1:4">
      <c r="A3074" t="s">
        <v>485</v>
      </c>
      <c r="B3074" t="s">
        <v>678</v>
      </c>
      <c r="C3074" t="s">
        <v>15</v>
      </c>
      <c r="D3074">
        <v>5.6160539000000002E-2</v>
      </c>
    </row>
    <row r="3075" spans="1:4">
      <c r="A3075" t="s">
        <v>485</v>
      </c>
      <c r="B3075" t="s">
        <v>10</v>
      </c>
      <c r="C3075" t="s">
        <v>15</v>
      </c>
      <c r="D3075">
        <v>2216.6305000000002</v>
      </c>
    </row>
    <row r="3076" spans="1:4">
      <c r="A3076" t="s">
        <v>485</v>
      </c>
      <c r="B3076" t="s">
        <v>11</v>
      </c>
      <c r="C3076" t="s">
        <v>15</v>
      </c>
      <c r="D3076">
        <v>0</v>
      </c>
    </row>
    <row r="3077" spans="1:4">
      <c r="A3077" t="s">
        <v>485</v>
      </c>
      <c r="B3077" t="s">
        <v>8</v>
      </c>
      <c r="C3077" t="s">
        <v>11</v>
      </c>
      <c r="D3077">
        <v>0</v>
      </c>
    </row>
    <row r="3078" spans="1:4">
      <c r="A3078" t="s">
        <v>485</v>
      </c>
      <c r="B3078" t="s">
        <v>678</v>
      </c>
      <c r="C3078" t="s">
        <v>7</v>
      </c>
      <c r="D3078">
        <v>0</v>
      </c>
    </row>
    <row r="3079" spans="1:4">
      <c r="A3079" t="s">
        <v>485</v>
      </c>
      <c r="B3079" t="s">
        <v>10</v>
      </c>
      <c r="C3079" t="s">
        <v>7</v>
      </c>
      <c r="D3079">
        <v>0</v>
      </c>
    </row>
    <row r="3080" spans="1:4">
      <c r="A3080" t="s">
        <v>485</v>
      </c>
      <c r="B3080" t="s">
        <v>7</v>
      </c>
      <c r="C3080" t="s">
        <v>8</v>
      </c>
      <c r="D3080">
        <v>0</v>
      </c>
    </row>
    <row r="3081" spans="1:4">
      <c r="A3081" t="s">
        <v>485</v>
      </c>
      <c r="B3081" t="s">
        <v>678</v>
      </c>
      <c r="C3081" t="s">
        <v>16</v>
      </c>
      <c r="D3081">
        <v>1018.487710369</v>
      </c>
    </row>
    <row r="3082" spans="1:4">
      <c r="A3082" t="s">
        <v>485</v>
      </c>
      <c r="B3082" t="s">
        <v>10</v>
      </c>
      <c r="C3082" t="s">
        <v>16</v>
      </c>
      <c r="D3082">
        <v>1516.9660965999999</v>
      </c>
    </row>
    <row r="3083" spans="1:4">
      <c r="A3083" t="s">
        <v>485</v>
      </c>
      <c r="B3083" t="s">
        <v>678</v>
      </c>
      <c r="C3083" t="s">
        <v>17</v>
      </c>
      <c r="D3083">
        <v>0</v>
      </c>
    </row>
    <row r="3084" spans="1:4">
      <c r="A3084" t="s">
        <v>485</v>
      </c>
      <c r="B3084" t="s">
        <v>10</v>
      </c>
      <c r="C3084" t="s">
        <v>17</v>
      </c>
      <c r="D3084">
        <v>49.558190000000003</v>
      </c>
    </row>
    <row r="3085" spans="1:4">
      <c r="A3085" t="s">
        <v>485</v>
      </c>
      <c r="B3085" t="s">
        <v>17</v>
      </c>
      <c r="C3085" t="s">
        <v>16</v>
      </c>
      <c r="D3085">
        <v>49.558190000000003</v>
      </c>
    </row>
    <row r="3086" spans="1:4">
      <c r="A3086" t="s">
        <v>485</v>
      </c>
      <c r="B3086" t="s">
        <v>14</v>
      </c>
      <c r="C3086" t="s">
        <v>678</v>
      </c>
      <c r="D3086">
        <v>548.51059999999995</v>
      </c>
    </row>
    <row r="3087" spans="1:4">
      <c r="A3087" t="s">
        <v>485</v>
      </c>
      <c r="B3087" t="s">
        <v>14</v>
      </c>
      <c r="C3087" t="s">
        <v>10</v>
      </c>
      <c r="D3087">
        <v>3383.5320000000002</v>
      </c>
    </row>
    <row r="3088" spans="1:4">
      <c r="A3088" t="s">
        <v>485</v>
      </c>
      <c r="B3088" t="s">
        <v>6</v>
      </c>
      <c r="C3088" t="s">
        <v>14</v>
      </c>
      <c r="D3088">
        <v>3932.0426000000002</v>
      </c>
    </row>
    <row r="3089" spans="1:4">
      <c r="A3089" t="s">
        <v>485</v>
      </c>
      <c r="B3089" t="s">
        <v>8</v>
      </c>
      <c r="C3089" t="s">
        <v>14</v>
      </c>
      <c r="D3089">
        <v>0</v>
      </c>
    </row>
    <row r="3090" spans="1:4">
      <c r="A3090" t="s">
        <v>485</v>
      </c>
      <c r="B3090" t="s">
        <v>9</v>
      </c>
      <c r="C3090" t="s">
        <v>678</v>
      </c>
      <c r="D3090">
        <v>138.016728</v>
      </c>
    </row>
    <row r="3091" spans="1:4">
      <c r="A3091" t="s">
        <v>485</v>
      </c>
      <c r="B3091" t="s">
        <v>9</v>
      </c>
      <c r="C3091" t="s">
        <v>10</v>
      </c>
      <c r="D3091">
        <v>38.197009999999999</v>
      </c>
    </row>
    <row r="3092" spans="1:4">
      <c r="A3092" t="s">
        <v>485</v>
      </c>
      <c r="B3092" t="s">
        <v>6</v>
      </c>
      <c r="C3092" t="s">
        <v>9</v>
      </c>
      <c r="D3092">
        <v>176.21373800000001</v>
      </c>
    </row>
    <row r="3093" spans="1:4">
      <c r="A3093" t="s">
        <v>485</v>
      </c>
      <c r="B3093" t="s">
        <v>13</v>
      </c>
      <c r="C3093" t="s">
        <v>678</v>
      </c>
      <c r="D3093">
        <v>236.06979999999999</v>
      </c>
    </row>
    <row r="3094" spans="1:4">
      <c r="A3094" t="s">
        <v>485</v>
      </c>
      <c r="B3094" t="s">
        <v>13</v>
      </c>
      <c r="C3094" t="s">
        <v>10</v>
      </c>
      <c r="D3094">
        <v>3068.26</v>
      </c>
    </row>
    <row r="3095" spans="1:4">
      <c r="A3095" t="s">
        <v>485</v>
      </c>
      <c r="B3095" t="s">
        <v>6</v>
      </c>
      <c r="C3095" t="s">
        <v>13</v>
      </c>
      <c r="D3095">
        <v>3304.3298</v>
      </c>
    </row>
    <row r="3096" spans="1:4">
      <c r="A3096" t="s">
        <v>485</v>
      </c>
      <c r="B3096" t="s">
        <v>8</v>
      </c>
      <c r="C3096" t="s">
        <v>678</v>
      </c>
      <c r="D3096">
        <v>75.266021500999997</v>
      </c>
    </row>
    <row r="3097" spans="1:4">
      <c r="A3097" t="s">
        <v>485</v>
      </c>
      <c r="B3097" t="s">
        <v>8</v>
      </c>
      <c r="C3097" t="s">
        <v>10</v>
      </c>
      <c r="D3097">
        <v>372.28675659999999</v>
      </c>
    </row>
    <row r="3098" spans="1:4">
      <c r="A3098" t="s">
        <v>485</v>
      </c>
      <c r="B3098" t="s">
        <v>12</v>
      </c>
      <c r="C3098" t="s">
        <v>678</v>
      </c>
      <c r="D3098">
        <v>4.1591678280000002</v>
      </c>
    </row>
    <row r="3099" spans="1:4">
      <c r="A3099" t="s">
        <v>485</v>
      </c>
      <c r="B3099" t="s">
        <v>12</v>
      </c>
      <c r="C3099" t="s">
        <v>10</v>
      </c>
      <c r="D3099">
        <v>378.872099564</v>
      </c>
    </row>
    <row r="3100" spans="1:4">
      <c r="A3100" t="s">
        <v>485</v>
      </c>
      <c r="B3100" t="s">
        <v>8</v>
      </c>
      <c r="C3100" t="s">
        <v>12</v>
      </c>
      <c r="D3100">
        <v>383.03126739200002</v>
      </c>
    </row>
    <row r="3101" spans="1:4">
      <c r="A3101" t="s">
        <v>485</v>
      </c>
      <c r="B3101" t="s">
        <v>16</v>
      </c>
      <c r="C3101" t="s">
        <v>678</v>
      </c>
      <c r="D3101">
        <v>114.494269081</v>
      </c>
    </row>
    <row r="3102" spans="1:4">
      <c r="A3102" t="s">
        <v>485</v>
      </c>
      <c r="B3102" t="s">
        <v>16</v>
      </c>
      <c r="C3102" t="s">
        <v>10</v>
      </c>
      <c r="D3102">
        <v>3151.002126589</v>
      </c>
    </row>
    <row r="3103" spans="1:4">
      <c r="A3103" t="s">
        <v>485</v>
      </c>
      <c r="B3103" t="s">
        <v>790</v>
      </c>
      <c r="C3103" t="s">
        <v>678</v>
      </c>
      <c r="D3103">
        <v>0</v>
      </c>
    </row>
    <row r="3104" spans="1:4">
      <c r="A3104" t="s">
        <v>485</v>
      </c>
      <c r="B3104" t="s">
        <v>790</v>
      </c>
      <c r="C3104" t="s">
        <v>10</v>
      </c>
      <c r="D3104">
        <v>0</v>
      </c>
    </row>
    <row r="3105" spans="1:4">
      <c r="A3105" t="s">
        <v>485</v>
      </c>
      <c r="B3105" t="s">
        <v>8</v>
      </c>
      <c r="C3105" t="s">
        <v>790</v>
      </c>
      <c r="D3105">
        <v>0</v>
      </c>
    </row>
    <row r="3106" spans="1:4">
      <c r="A3106" t="s">
        <v>485</v>
      </c>
      <c r="B3106" t="s">
        <v>8</v>
      </c>
      <c r="C3106" t="s">
        <v>6</v>
      </c>
      <c r="D3106">
        <v>603.87008800000001</v>
      </c>
    </row>
    <row r="3107" spans="1:4">
      <c r="A3107" t="s">
        <v>485</v>
      </c>
      <c r="B3107" t="s">
        <v>15</v>
      </c>
      <c r="C3107" t="s">
        <v>6</v>
      </c>
      <c r="D3107">
        <v>486.57220000000001</v>
      </c>
    </row>
    <row r="3108" spans="1:4">
      <c r="A3108" t="s">
        <v>485</v>
      </c>
      <c r="B3108" t="s">
        <v>5</v>
      </c>
      <c r="C3108" t="s">
        <v>6</v>
      </c>
      <c r="D3108">
        <v>1049.6300000000001</v>
      </c>
    </row>
    <row r="3109" spans="1:4">
      <c r="A3109" t="s">
        <v>485</v>
      </c>
      <c r="B3109" t="s">
        <v>15</v>
      </c>
      <c r="C3109" t="s">
        <v>5</v>
      </c>
      <c r="D3109">
        <v>1049.6300000000001</v>
      </c>
    </row>
    <row r="3110" spans="1:4">
      <c r="A3110" t="s">
        <v>485</v>
      </c>
      <c r="B3110" t="s">
        <v>6</v>
      </c>
      <c r="C3110" t="s">
        <v>8</v>
      </c>
      <c r="D3110">
        <v>0</v>
      </c>
    </row>
    <row r="3111" spans="1:4">
      <c r="A3111" t="s">
        <v>485</v>
      </c>
      <c r="B3111" t="s">
        <v>15</v>
      </c>
      <c r="C3111" t="s">
        <v>16</v>
      </c>
      <c r="D3111">
        <v>680.48439870100003</v>
      </c>
    </row>
    <row r="3112" spans="1:4">
      <c r="A3112" t="s">
        <v>485</v>
      </c>
      <c r="B3112" t="s">
        <v>8</v>
      </c>
      <c r="C3112" t="s">
        <v>15</v>
      </c>
      <c r="D3112">
        <v>1.7998299999999999E-4</v>
      </c>
    </row>
    <row r="3113" spans="1:4">
      <c r="A3113" t="s">
        <v>802</v>
      </c>
      <c r="B3113" t="s">
        <v>678</v>
      </c>
      <c r="C3113" t="s">
        <v>678</v>
      </c>
      <c r="D3113">
        <v>99.064937</v>
      </c>
    </row>
    <row r="3114" spans="1:4">
      <c r="A3114" t="s">
        <v>802</v>
      </c>
      <c r="B3114" t="s">
        <v>10</v>
      </c>
      <c r="C3114" t="s">
        <v>678</v>
      </c>
      <c r="D3114">
        <v>581.38390000000004</v>
      </c>
    </row>
    <row r="3115" spans="1:4">
      <c r="A3115" t="s">
        <v>802</v>
      </c>
      <c r="B3115" t="s">
        <v>678</v>
      </c>
      <c r="C3115" t="s">
        <v>10</v>
      </c>
      <c r="D3115">
        <v>1044.28072</v>
      </c>
    </row>
    <row r="3116" spans="1:4">
      <c r="A3116" t="s">
        <v>802</v>
      </c>
      <c r="B3116" t="s">
        <v>10</v>
      </c>
      <c r="C3116" t="s">
        <v>10</v>
      </c>
      <c r="D3116">
        <v>8764.2330000000002</v>
      </c>
    </row>
    <row r="3117" spans="1:4">
      <c r="A3117" t="s">
        <v>802</v>
      </c>
      <c r="B3117" t="s">
        <v>11</v>
      </c>
      <c r="C3117" t="s">
        <v>678</v>
      </c>
      <c r="D3117">
        <v>3.9257554300000002</v>
      </c>
    </row>
    <row r="3118" spans="1:4">
      <c r="A3118" t="s">
        <v>802</v>
      </c>
      <c r="B3118" t="s">
        <v>11</v>
      </c>
      <c r="C3118" t="s">
        <v>10</v>
      </c>
      <c r="D3118">
        <v>51.559561500000001</v>
      </c>
    </row>
    <row r="3119" spans="1:4">
      <c r="A3119" t="s">
        <v>802</v>
      </c>
      <c r="B3119" t="s">
        <v>678</v>
      </c>
      <c r="C3119" t="s">
        <v>6</v>
      </c>
      <c r="D3119">
        <v>640.86386000000005</v>
      </c>
    </row>
    <row r="3120" spans="1:4">
      <c r="A3120" t="s">
        <v>802</v>
      </c>
      <c r="B3120" t="s">
        <v>10</v>
      </c>
      <c r="C3120" t="s">
        <v>6</v>
      </c>
      <c r="D3120">
        <v>3681.2159999999999</v>
      </c>
    </row>
    <row r="3121" spans="1:4">
      <c r="A3121" t="s">
        <v>802</v>
      </c>
      <c r="B3121" t="s">
        <v>11</v>
      </c>
      <c r="C3121" t="s">
        <v>6</v>
      </c>
      <c r="D3121">
        <v>84.158955000000006</v>
      </c>
    </row>
    <row r="3122" spans="1:4">
      <c r="A3122" t="s">
        <v>802</v>
      </c>
      <c r="B3122" t="s">
        <v>678</v>
      </c>
      <c r="C3122" t="s">
        <v>8</v>
      </c>
      <c r="D3122">
        <v>45.682519999999997</v>
      </c>
    </row>
    <row r="3123" spans="1:4">
      <c r="A3123" t="s">
        <v>802</v>
      </c>
      <c r="B3123" t="s">
        <v>10</v>
      </c>
      <c r="C3123" t="s">
        <v>8</v>
      </c>
      <c r="D3123">
        <v>3424.6660999999999</v>
      </c>
    </row>
    <row r="3124" spans="1:4">
      <c r="A3124" t="s">
        <v>802</v>
      </c>
      <c r="B3124" t="s">
        <v>11</v>
      </c>
      <c r="C3124" t="s">
        <v>8</v>
      </c>
      <c r="D3124">
        <v>3.2653000000000001E-5</v>
      </c>
    </row>
    <row r="3125" spans="1:4">
      <c r="A3125" t="s">
        <v>802</v>
      </c>
      <c r="B3125" t="s">
        <v>678</v>
      </c>
      <c r="C3125" t="s">
        <v>15</v>
      </c>
      <c r="D3125">
        <v>29.220521000000002</v>
      </c>
    </row>
    <row r="3126" spans="1:4">
      <c r="A3126" t="s">
        <v>802</v>
      </c>
      <c r="B3126" t="s">
        <v>10</v>
      </c>
      <c r="C3126" t="s">
        <v>15</v>
      </c>
      <c r="D3126">
        <v>3195.9380000000001</v>
      </c>
    </row>
    <row r="3127" spans="1:4">
      <c r="A3127" t="s">
        <v>802</v>
      </c>
      <c r="B3127" t="s">
        <v>11</v>
      </c>
      <c r="C3127" t="s">
        <v>15</v>
      </c>
      <c r="D3127">
        <v>10.751074073</v>
      </c>
    </row>
    <row r="3128" spans="1:4">
      <c r="A3128" t="s">
        <v>802</v>
      </c>
      <c r="B3128" t="s">
        <v>8</v>
      </c>
      <c r="C3128" t="s">
        <v>11</v>
      </c>
      <c r="D3128">
        <v>150.39537865599999</v>
      </c>
    </row>
    <row r="3129" spans="1:4">
      <c r="A3129" t="s">
        <v>802</v>
      </c>
      <c r="B3129" t="s">
        <v>678</v>
      </c>
      <c r="C3129" t="s">
        <v>7</v>
      </c>
      <c r="D3129">
        <v>0</v>
      </c>
    </row>
    <row r="3130" spans="1:4">
      <c r="A3130" t="s">
        <v>802</v>
      </c>
      <c r="B3130" t="s">
        <v>10</v>
      </c>
      <c r="C3130" t="s">
        <v>7</v>
      </c>
      <c r="D3130">
        <v>-2.8358003549999999</v>
      </c>
    </row>
    <row r="3131" spans="1:4">
      <c r="A3131" t="s">
        <v>802</v>
      </c>
      <c r="B3131" t="s">
        <v>7</v>
      </c>
      <c r="C3131" t="s">
        <v>8</v>
      </c>
      <c r="D3131">
        <v>-2.8358003549999999</v>
      </c>
    </row>
    <row r="3132" spans="1:4">
      <c r="A3132" t="s">
        <v>802</v>
      </c>
      <c r="B3132" t="s">
        <v>678</v>
      </c>
      <c r="C3132" t="s">
        <v>16</v>
      </c>
      <c r="D3132">
        <v>32.590373028000002</v>
      </c>
    </row>
    <row r="3133" spans="1:4">
      <c r="A3133" t="s">
        <v>802</v>
      </c>
      <c r="B3133" t="s">
        <v>10</v>
      </c>
      <c r="C3133" t="s">
        <v>16</v>
      </c>
      <c r="D3133">
        <v>7007.4506541299997</v>
      </c>
    </row>
    <row r="3134" spans="1:4">
      <c r="A3134" t="s">
        <v>802</v>
      </c>
      <c r="B3134" t="s">
        <v>678</v>
      </c>
      <c r="C3134" t="s">
        <v>17</v>
      </c>
      <c r="D3134">
        <v>0</v>
      </c>
    </row>
    <row r="3135" spans="1:4">
      <c r="A3135" t="s">
        <v>802</v>
      </c>
      <c r="B3135" t="s">
        <v>10</v>
      </c>
      <c r="C3135" t="s">
        <v>17</v>
      </c>
      <c r="D3135">
        <v>52.633279999999999</v>
      </c>
    </row>
    <row r="3136" spans="1:4">
      <c r="A3136" t="s">
        <v>802</v>
      </c>
      <c r="B3136" t="s">
        <v>17</v>
      </c>
      <c r="C3136" t="s">
        <v>16</v>
      </c>
      <c r="D3136">
        <v>52.633279999999999</v>
      </c>
    </row>
    <row r="3137" spans="1:4">
      <c r="A3137" t="s">
        <v>802</v>
      </c>
      <c r="B3137" t="s">
        <v>14</v>
      </c>
      <c r="C3137" t="s">
        <v>678</v>
      </c>
      <c r="D3137">
        <v>587.39530000000002</v>
      </c>
    </row>
    <row r="3138" spans="1:4">
      <c r="A3138" t="s">
        <v>802</v>
      </c>
      <c r="B3138" t="s">
        <v>14</v>
      </c>
      <c r="C3138" t="s">
        <v>10</v>
      </c>
      <c r="D3138">
        <v>4279.0630000000001</v>
      </c>
    </row>
    <row r="3139" spans="1:4">
      <c r="A3139" t="s">
        <v>802</v>
      </c>
      <c r="B3139" t="s">
        <v>6</v>
      </c>
      <c r="C3139" t="s">
        <v>14</v>
      </c>
      <c r="D3139">
        <v>4866.4583000000002</v>
      </c>
    </row>
    <row r="3140" spans="1:4">
      <c r="A3140" t="s">
        <v>802</v>
      </c>
      <c r="B3140" t="s">
        <v>8</v>
      </c>
      <c r="C3140" t="s">
        <v>14</v>
      </c>
      <c r="D3140">
        <v>0</v>
      </c>
    </row>
    <row r="3141" spans="1:4">
      <c r="A3141" t="s">
        <v>802</v>
      </c>
      <c r="B3141" t="s">
        <v>9</v>
      </c>
      <c r="C3141" t="s">
        <v>678</v>
      </c>
      <c r="D3141">
        <v>154.28871000000001</v>
      </c>
    </row>
    <row r="3142" spans="1:4">
      <c r="A3142" t="s">
        <v>802</v>
      </c>
      <c r="B3142" t="s">
        <v>9</v>
      </c>
      <c r="C3142" t="s">
        <v>10</v>
      </c>
      <c r="D3142">
        <v>1091.3610000000001</v>
      </c>
    </row>
    <row r="3143" spans="1:4">
      <c r="A3143" t="s">
        <v>802</v>
      </c>
      <c r="B3143" t="s">
        <v>6</v>
      </c>
      <c r="C3143" t="s">
        <v>9</v>
      </c>
      <c r="D3143">
        <v>1245.6497099999999</v>
      </c>
    </row>
    <row r="3144" spans="1:4">
      <c r="A3144" t="s">
        <v>802</v>
      </c>
      <c r="B3144" t="s">
        <v>13</v>
      </c>
      <c r="C3144" t="s">
        <v>678</v>
      </c>
      <c r="D3144">
        <v>244.6695</v>
      </c>
    </row>
    <row r="3145" spans="1:4">
      <c r="A3145" t="s">
        <v>802</v>
      </c>
      <c r="B3145" t="s">
        <v>13</v>
      </c>
      <c r="C3145" t="s">
        <v>10</v>
      </c>
      <c r="D3145">
        <v>5248.88</v>
      </c>
    </row>
    <row r="3146" spans="1:4">
      <c r="A3146" t="s">
        <v>802</v>
      </c>
      <c r="B3146" t="s">
        <v>6</v>
      </c>
      <c r="C3146" t="s">
        <v>13</v>
      </c>
      <c r="D3146">
        <v>5493.5495000000001</v>
      </c>
    </row>
    <row r="3147" spans="1:4">
      <c r="A3147" t="s">
        <v>802</v>
      </c>
      <c r="B3147" t="s">
        <v>8</v>
      </c>
      <c r="C3147" t="s">
        <v>678</v>
      </c>
      <c r="D3147">
        <v>34.076520598000002</v>
      </c>
    </row>
    <row r="3148" spans="1:4">
      <c r="A3148" t="s">
        <v>802</v>
      </c>
      <c r="B3148" t="s">
        <v>8</v>
      </c>
      <c r="C3148" t="s">
        <v>10</v>
      </c>
      <c r="D3148">
        <v>375.68215227500002</v>
      </c>
    </row>
    <row r="3149" spans="1:4">
      <c r="A3149" t="s">
        <v>802</v>
      </c>
      <c r="B3149" t="s">
        <v>12</v>
      </c>
      <c r="C3149" t="s">
        <v>678</v>
      </c>
      <c r="D3149">
        <v>18.644298225</v>
      </c>
    </row>
    <row r="3150" spans="1:4">
      <c r="A3150" t="s">
        <v>802</v>
      </c>
      <c r="B3150" t="s">
        <v>12</v>
      </c>
      <c r="C3150" t="s">
        <v>10</v>
      </c>
      <c r="D3150">
        <v>772.89584503599997</v>
      </c>
    </row>
    <row r="3151" spans="1:4">
      <c r="A3151" t="s">
        <v>802</v>
      </c>
      <c r="B3151" t="s">
        <v>8</v>
      </c>
      <c r="C3151" t="s">
        <v>12</v>
      </c>
      <c r="D3151">
        <v>791.54014326100003</v>
      </c>
    </row>
    <row r="3152" spans="1:4">
      <c r="A3152" t="s">
        <v>802</v>
      </c>
      <c r="B3152" t="s">
        <v>16</v>
      </c>
      <c r="C3152" t="s">
        <v>678</v>
      </c>
      <c r="D3152">
        <v>168.25401264800001</v>
      </c>
    </row>
    <row r="3153" spans="1:4">
      <c r="A3153" t="s">
        <v>802</v>
      </c>
      <c r="B3153" t="s">
        <v>16</v>
      </c>
      <c r="C3153" t="s">
        <v>10</v>
      </c>
      <c r="D3153">
        <v>5076.7287756200003</v>
      </c>
    </row>
    <row r="3154" spans="1:4">
      <c r="A3154" t="s">
        <v>802</v>
      </c>
      <c r="B3154" t="s">
        <v>790</v>
      </c>
      <c r="C3154" t="s">
        <v>678</v>
      </c>
      <c r="D3154">
        <v>0</v>
      </c>
    </row>
    <row r="3155" spans="1:4">
      <c r="A3155" t="s">
        <v>802</v>
      </c>
      <c r="B3155" t="s">
        <v>790</v>
      </c>
      <c r="C3155" t="s">
        <v>10</v>
      </c>
      <c r="D3155">
        <v>0</v>
      </c>
    </row>
    <row r="3156" spans="1:4">
      <c r="A3156" t="s">
        <v>802</v>
      </c>
      <c r="B3156" t="s">
        <v>8</v>
      </c>
      <c r="C3156" t="s">
        <v>790</v>
      </c>
      <c r="D3156">
        <v>0</v>
      </c>
    </row>
    <row r="3157" spans="1:4">
      <c r="A3157" t="s">
        <v>802</v>
      </c>
      <c r="B3157" t="s">
        <v>8</v>
      </c>
      <c r="C3157" t="s">
        <v>6</v>
      </c>
      <c r="D3157">
        <v>2115.8196950000001</v>
      </c>
    </row>
    <row r="3158" spans="1:4">
      <c r="A3158" t="s">
        <v>802</v>
      </c>
      <c r="B3158" t="s">
        <v>15</v>
      </c>
      <c r="C3158" t="s">
        <v>6</v>
      </c>
      <c r="D3158">
        <v>3628.1770000000001</v>
      </c>
    </row>
    <row r="3159" spans="1:4">
      <c r="A3159" t="s">
        <v>802</v>
      </c>
      <c r="B3159" t="s">
        <v>5</v>
      </c>
      <c r="C3159" t="s">
        <v>6</v>
      </c>
      <c r="D3159">
        <v>1455.422</v>
      </c>
    </row>
    <row r="3160" spans="1:4">
      <c r="A3160" t="s">
        <v>802</v>
      </c>
      <c r="B3160" t="s">
        <v>15</v>
      </c>
      <c r="C3160" t="s">
        <v>5</v>
      </c>
      <c r="D3160">
        <v>1455.422</v>
      </c>
    </row>
    <row r="3161" spans="1:4">
      <c r="A3161" t="s">
        <v>802</v>
      </c>
      <c r="B3161" t="s">
        <v>6</v>
      </c>
      <c r="C3161" t="s">
        <v>8</v>
      </c>
      <c r="D3161">
        <v>0</v>
      </c>
    </row>
    <row r="3162" spans="1:4">
      <c r="A3162" t="s">
        <v>802</v>
      </c>
      <c r="B3162" t="s">
        <v>16</v>
      </c>
      <c r="C3162" t="s">
        <v>15</v>
      </c>
      <c r="D3162">
        <v>1847.691518889</v>
      </c>
    </row>
    <row r="3163" spans="1:4">
      <c r="A3163" t="s">
        <v>802</v>
      </c>
      <c r="B3163" t="s">
        <v>15</v>
      </c>
      <c r="C3163" t="s">
        <v>8</v>
      </c>
      <c r="D3163">
        <v>1.037491E-3</v>
      </c>
    </row>
    <row r="3164" spans="1:4">
      <c r="A3164" t="s">
        <v>560</v>
      </c>
      <c r="B3164" t="s">
        <v>678</v>
      </c>
      <c r="C3164" t="s">
        <v>678</v>
      </c>
      <c r="D3164">
        <v>47.040298</v>
      </c>
    </row>
    <row r="3165" spans="1:4">
      <c r="A3165" t="s">
        <v>560</v>
      </c>
      <c r="B3165" t="s">
        <v>10</v>
      </c>
      <c r="C3165" t="s">
        <v>678</v>
      </c>
      <c r="D3165">
        <v>208.72344000000001</v>
      </c>
    </row>
    <row r="3166" spans="1:4">
      <c r="A3166" t="s">
        <v>560</v>
      </c>
      <c r="B3166" t="s">
        <v>678</v>
      </c>
      <c r="C3166" t="s">
        <v>10</v>
      </c>
      <c r="D3166">
        <v>465.65629999999999</v>
      </c>
    </row>
    <row r="3167" spans="1:4">
      <c r="A3167" t="s">
        <v>560</v>
      </c>
      <c r="B3167" t="s">
        <v>10</v>
      </c>
      <c r="C3167" t="s">
        <v>10</v>
      </c>
      <c r="D3167">
        <v>1828.1555000000001</v>
      </c>
    </row>
    <row r="3168" spans="1:4">
      <c r="A3168" t="s">
        <v>560</v>
      </c>
      <c r="B3168" t="s">
        <v>11</v>
      </c>
      <c r="C3168" t="s">
        <v>678</v>
      </c>
      <c r="D3168">
        <v>7.4540004000000007E-2</v>
      </c>
    </row>
    <row r="3169" spans="1:4">
      <c r="A3169" t="s">
        <v>560</v>
      </c>
      <c r="B3169" t="s">
        <v>11</v>
      </c>
      <c r="C3169" t="s">
        <v>10</v>
      </c>
      <c r="D3169">
        <v>0.21295129700000001</v>
      </c>
    </row>
    <row r="3170" spans="1:4">
      <c r="A3170" t="s">
        <v>560</v>
      </c>
      <c r="B3170" t="s">
        <v>678</v>
      </c>
      <c r="C3170" t="s">
        <v>6</v>
      </c>
      <c r="D3170">
        <v>2954.3186700000001</v>
      </c>
    </row>
    <row r="3171" spans="1:4">
      <c r="A3171" t="s">
        <v>560</v>
      </c>
      <c r="B3171" t="s">
        <v>10</v>
      </c>
      <c r="C3171" t="s">
        <v>6</v>
      </c>
      <c r="D3171">
        <v>2553.3035</v>
      </c>
    </row>
    <row r="3172" spans="1:4">
      <c r="A3172" t="s">
        <v>560</v>
      </c>
      <c r="B3172" t="s">
        <v>11</v>
      </c>
      <c r="C3172" t="s">
        <v>6</v>
      </c>
      <c r="D3172">
        <v>-0.32780677600000002</v>
      </c>
    </row>
    <row r="3173" spans="1:4">
      <c r="A3173" t="s">
        <v>560</v>
      </c>
      <c r="B3173" t="s">
        <v>678</v>
      </c>
      <c r="C3173" t="s">
        <v>8</v>
      </c>
      <c r="D3173">
        <v>1.1073934000000001E-2</v>
      </c>
    </row>
    <row r="3174" spans="1:4">
      <c r="A3174" t="s">
        <v>560</v>
      </c>
      <c r="B3174" t="s">
        <v>10</v>
      </c>
      <c r="C3174" t="s">
        <v>8</v>
      </c>
      <c r="D3174">
        <v>652.39607000000001</v>
      </c>
    </row>
    <row r="3175" spans="1:4">
      <c r="A3175" t="s">
        <v>560</v>
      </c>
      <c r="B3175" t="s">
        <v>11</v>
      </c>
      <c r="C3175" t="s">
        <v>8</v>
      </c>
      <c r="D3175">
        <v>-6.4219999999999997E-6</v>
      </c>
    </row>
    <row r="3176" spans="1:4">
      <c r="A3176" t="s">
        <v>560</v>
      </c>
      <c r="B3176" t="s">
        <v>678</v>
      </c>
      <c r="C3176" t="s">
        <v>15</v>
      </c>
      <c r="D3176">
        <v>1.328971E-2</v>
      </c>
    </row>
    <row r="3177" spans="1:4">
      <c r="A3177" t="s">
        <v>560</v>
      </c>
      <c r="B3177" t="s">
        <v>10</v>
      </c>
      <c r="C3177" t="s">
        <v>15</v>
      </c>
      <c r="D3177">
        <v>1020.5434</v>
      </c>
    </row>
    <row r="3178" spans="1:4">
      <c r="A3178" t="s">
        <v>560</v>
      </c>
      <c r="B3178" t="s">
        <v>11</v>
      </c>
      <c r="C3178" t="s">
        <v>15</v>
      </c>
      <c r="D3178">
        <v>-6.4177748000000007E-2</v>
      </c>
    </row>
    <row r="3179" spans="1:4">
      <c r="A3179" t="s">
        <v>560</v>
      </c>
      <c r="B3179" t="s">
        <v>8</v>
      </c>
      <c r="C3179" t="s">
        <v>11</v>
      </c>
      <c r="D3179">
        <v>-0.104499645</v>
      </c>
    </row>
    <row r="3180" spans="1:4">
      <c r="A3180" t="s">
        <v>560</v>
      </c>
      <c r="B3180" t="s">
        <v>678</v>
      </c>
      <c r="C3180" t="s">
        <v>7</v>
      </c>
      <c r="D3180">
        <v>0</v>
      </c>
    </row>
    <row r="3181" spans="1:4">
      <c r="A3181" t="s">
        <v>560</v>
      </c>
      <c r="B3181" t="s">
        <v>10</v>
      </c>
      <c r="C3181" t="s">
        <v>7</v>
      </c>
      <c r="D3181">
        <v>0</v>
      </c>
    </row>
    <row r="3182" spans="1:4">
      <c r="A3182" t="s">
        <v>560</v>
      </c>
      <c r="B3182" t="s">
        <v>7</v>
      </c>
      <c r="C3182" t="s">
        <v>8</v>
      </c>
      <c r="D3182">
        <v>0</v>
      </c>
    </row>
    <row r="3183" spans="1:4">
      <c r="A3183" t="s">
        <v>560</v>
      </c>
      <c r="B3183" t="s">
        <v>678</v>
      </c>
      <c r="C3183" t="s">
        <v>16</v>
      </c>
      <c r="D3183">
        <v>465.61480798700001</v>
      </c>
    </row>
    <row r="3184" spans="1:4">
      <c r="A3184" t="s">
        <v>560</v>
      </c>
      <c r="B3184" t="s">
        <v>10</v>
      </c>
      <c r="C3184" t="s">
        <v>16</v>
      </c>
      <c r="D3184">
        <v>562.58777725000004</v>
      </c>
    </row>
    <row r="3185" spans="1:4">
      <c r="A3185" t="s">
        <v>560</v>
      </c>
      <c r="B3185" t="s">
        <v>678</v>
      </c>
      <c r="C3185" t="s">
        <v>17</v>
      </c>
      <c r="D3185">
        <v>0</v>
      </c>
    </row>
    <row r="3186" spans="1:4">
      <c r="A3186" t="s">
        <v>560</v>
      </c>
      <c r="B3186" t="s">
        <v>10</v>
      </c>
      <c r="C3186" t="s">
        <v>17</v>
      </c>
      <c r="D3186">
        <v>26.754950000000001</v>
      </c>
    </row>
    <row r="3187" spans="1:4">
      <c r="A3187" t="s">
        <v>560</v>
      </c>
      <c r="B3187" t="s">
        <v>17</v>
      </c>
      <c r="C3187" t="s">
        <v>16</v>
      </c>
      <c r="D3187">
        <v>26.754950000000001</v>
      </c>
    </row>
    <row r="3188" spans="1:4">
      <c r="A3188" t="s">
        <v>560</v>
      </c>
      <c r="B3188" t="s">
        <v>14</v>
      </c>
      <c r="C3188" t="s">
        <v>678</v>
      </c>
      <c r="D3188">
        <v>2508.8220000000001</v>
      </c>
    </row>
    <row r="3189" spans="1:4">
      <c r="A3189" t="s">
        <v>560</v>
      </c>
      <c r="B3189" t="s">
        <v>14</v>
      </c>
      <c r="C3189" t="s">
        <v>10</v>
      </c>
      <c r="D3189">
        <v>1421.087</v>
      </c>
    </row>
    <row r="3190" spans="1:4">
      <c r="A3190" t="s">
        <v>560</v>
      </c>
      <c r="B3190" t="s">
        <v>6</v>
      </c>
      <c r="C3190" t="s">
        <v>14</v>
      </c>
      <c r="D3190">
        <v>3929.9090000000001</v>
      </c>
    </row>
    <row r="3191" spans="1:4">
      <c r="A3191" t="s">
        <v>560</v>
      </c>
      <c r="B3191" t="s">
        <v>8</v>
      </c>
      <c r="C3191" t="s">
        <v>14</v>
      </c>
      <c r="D3191">
        <v>0</v>
      </c>
    </row>
    <row r="3192" spans="1:4">
      <c r="A3192" t="s">
        <v>560</v>
      </c>
      <c r="B3192" t="s">
        <v>9</v>
      </c>
      <c r="C3192" t="s">
        <v>678</v>
      </c>
      <c r="D3192">
        <v>461.00869</v>
      </c>
    </row>
    <row r="3193" spans="1:4">
      <c r="A3193" t="s">
        <v>560</v>
      </c>
      <c r="B3193" t="s">
        <v>9</v>
      </c>
      <c r="C3193" t="s">
        <v>10</v>
      </c>
      <c r="D3193">
        <v>11.81549</v>
      </c>
    </row>
    <row r="3194" spans="1:4">
      <c r="A3194" t="s">
        <v>560</v>
      </c>
      <c r="B3194" t="s">
        <v>6</v>
      </c>
      <c r="C3194" t="s">
        <v>9</v>
      </c>
      <c r="D3194">
        <v>472.82418000000001</v>
      </c>
    </row>
    <row r="3195" spans="1:4">
      <c r="A3195" t="s">
        <v>560</v>
      </c>
      <c r="B3195" t="s">
        <v>13</v>
      </c>
      <c r="C3195" t="s">
        <v>678</v>
      </c>
      <c r="D3195">
        <v>682.08309999999994</v>
      </c>
    </row>
    <row r="3196" spans="1:4">
      <c r="A3196" t="s">
        <v>560</v>
      </c>
      <c r="B3196" t="s">
        <v>13</v>
      </c>
      <c r="C3196" t="s">
        <v>10</v>
      </c>
      <c r="D3196">
        <v>2149.6179999999999</v>
      </c>
    </row>
    <row r="3197" spans="1:4">
      <c r="A3197" t="s">
        <v>560</v>
      </c>
      <c r="B3197" t="s">
        <v>6</v>
      </c>
      <c r="C3197" t="s">
        <v>13</v>
      </c>
      <c r="D3197">
        <v>2831.7011000000002</v>
      </c>
    </row>
    <row r="3198" spans="1:4">
      <c r="A3198" t="s">
        <v>560</v>
      </c>
      <c r="B3198" t="s">
        <v>8</v>
      </c>
      <c r="C3198" t="s">
        <v>678</v>
      </c>
      <c r="D3198">
        <v>0.16446730800000001</v>
      </c>
    </row>
    <row r="3199" spans="1:4">
      <c r="A3199" t="s">
        <v>560</v>
      </c>
      <c r="B3199" t="s">
        <v>8</v>
      </c>
      <c r="C3199" t="s">
        <v>10</v>
      </c>
      <c r="D3199">
        <v>112.176585953</v>
      </c>
    </row>
    <row r="3200" spans="1:4">
      <c r="A3200" t="s">
        <v>560</v>
      </c>
      <c r="B3200" t="s">
        <v>12</v>
      </c>
      <c r="C3200" t="s">
        <v>678</v>
      </c>
      <c r="D3200">
        <v>7.3107232619999998</v>
      </c>
    </row>
    <row r="3201" spans="1:4">
      <c r="A3201" t="s">
        <v>560</v>
      </c>
      <c r="B3201" t="s">
        <v>12</v>
      </c>
      <c r="C3201" t="s">
        <v>10</v>
      </c>
      <c r="D3201">
        <v>128.07462183999999</v>
      </c>
    </row>
    <row r="3202" spans="1:4">
      <c r="A3202" t="s">
        <v>560</v>
      </c>
      <c r="B3202" t="s">
        <v>8</v>
      </c>
      <c r="C3202" t="s">
        <v>12</v>
      </c>
      <c r="D3202">
        <v>135.385345102</v>
      </c>
    </row>
    <row r="3203" spans="1:4">
      <c r="A3203" t="s">
        <v>560</v>
      </c>
      <c r="B3203" t="s">
        <v>16</v>
      </c>
      <c r="C3203" t="s">
        <v>678</v>
      </c>
      <c r="D3203">
        <v>17.427182126000002</v>
      </c>
    </row>
    <row r="3204" spans="1:4">
      <c r="A3204" t="s">
        <v>560</v>
      </c>
      <c r="B3204" t="s">
        <v>16</v>
      </c>
      <c r="C3204" t="s">
        <v>10</v>
      </c>
      <c r="D3204">
        <v>735.66818969500002</v>
      </c>
    </row>
    <row r="3205" spans="1:4">
      <c r="A3205" t="s">
        <v>560</v>
      </c>
      <c r="B3205" t="s">
        <v>790</v>
      </c>
      <c r="C3205" t="s">
        <v>678</v>
      </c>
      <c r="D3205">
        <v>0</v>
      </c>
    </row>
    <row r="3206" spans="1:4">
      <c r="A3206" t="s">
        <v>560</v>
      </c>
      <c r="B3206" t="s">
        <v>790</v>
      </c>
      <c r="C3206" t="s">
        <v>10</v>
      </c>
      <c r="D3206">
        <v>0</v>
      </c>
    </row>
    <row r="3207" spans="1:4">
      <c r="A3207" t="s">
        <v>560</v>
      </c>
      <c r="B3207" t="s">
        <v>8</v>
      </c>
      <c r="C3207" t="s">
        <v>790</v>
      </c>
      <c r="D3207">
        <v>0</v>
      </c>
    </row>
    <row r="3208" spans="1:4">
      <c r="A3208" t="s">
        <v>560</v>
      </c>
      <c r="B3208" t="s">
        <v>8</v>
      </c>
      <c r="C3208" t="s">
        <v>6</v>
      </c>
      <c r="D3208">
        <v>404.78611677599997</v>
      </c>
    </row>
    <row r="3209" spans="1:4">
      <c r="A3209" t="s">
        <v>560</v>
      </c>
      <c r="B3209" t="s">
        <v>15</v>
      </c>
      <c r="C3209" t="s">
        <v>6</v>
      </c>
      <c r="D3209">
        <v>894.08759999999995</v>
      </c>
    </row>
    <row r="3210" spans="1:4">
      <c r="A3210" t="s">
        <v>560</v>
      </c>
      <c r="B3210" t="s">
        <v>5</v>
      </c>
      <c r="C3210" t="s">
        <v>6</v>
      </c>
      <c r="D3210">
        <v>428.26620000000003</v>
      </c>
    </row>
    <row r="3211" spans="1:4">
      <c r="A3211" t="s">
        <v>560</v>
      </c>
      <c r="B3211" t="s">
        <v>15</v>
      </c>
      <c r="C3211" t="s">
        <v>5</v>
      </c>
      <c r="D3211">
        <v>428.26620000000003</v>
      </c>
    </row>
    <row r="3212" spans="1:4">
      <c r="A3212" t="s">
        <v>560</v>
      </c>
      <c r="B3212" t="s">
        <v>6</v>
      </c>
      <c r="C3212" t="s">
        <v>8</v>
      </c>
      <c r="D3212">
        <v>0</v>
      </c>
    </row>
    <row r="3213" spans="1:4">
      <c r="A3213" t="s">
        <v>560</v>
      </c>
      <c r="B3213" t="s">
        <v>16</v>
      </c>
      <c r="C3213" t="s">
        <v>15</v>
      </c>
      <c r="D3213">
        <v>301.86216341599999</v>
      </c>
    </row>
    <row r="3214" spans="1:4">
      <c r="A3214" t="s">
        <v>560</v>
      </c>
      <c r="B3214" t="s">
        <v>15</v>
      </c>
      <c r="C3214" t="s">
        <v>8</v>
      </c>
      <c r="D3214">
        <v>8.7798200000000002E-4</v>
      </c>
    </row>
    <row r="3215" spans="1:4">
      <c r="A3215" t="s">
        <v>803</v>
      </c>
      <c r="B3215" t="s">
        <v>678</v>
      </c>
      <c r="C3215" t="s">
        <v>678</v>
      </c>
      <c r="D3215">
        <v>6366.4759000000004</v>
      </c>
    </row>
    <row r="3216" spans="1:4">
      <c r="A3216" t="s">
        <v>803</v>
      </c>
      <c r="B3216" t="s">
        <v>10</v>
      </c>
      <c r="C3216" t="s">
        <v>678</v>
      </c>
      <c r="D3216">
        <v>18330.776999999998</v>
      </c>
    </row>
    <row r="3217" spans="1:4">
      <c r="A3217" t="s">
        <v>803</v>
      </c>
      <c r="B3217" t="s">
        <v>678</v>
      </c>
      <c r="C3217" t="s">
        <v>10</v>
      </c>
      <c r="D3217">
        <v>20942.1862</v>
      </c>
    </row>
    <row r="3218" spans="1:4">
      <c r="A3218" t="s">
        <v>803</v>
      </c>
      <c r="B3218" t="s">
        <v>10</v>
      </c>
      <c r="C3218" t="s">
        <v>10</v>
      </c>
      <c r="D3218">
        <v>99081.95</v>
      </c>
    </row>
    <row r="3219" spans="1:4">
      <c r="A3219" t="s">
        <v>803</v>
      </c>
      <c r="B3219" t="s">
        <v>11</v>
      </c>
      <c r="C3219" t="s">
        <v>678</v>
      </c>
      <c r="D3219">
        <v>169.65296900000001</v>
      </c>
    </row>
    <row r="3220" spans="1:4">
      <c r="A3220" t="s">
        <v>803</v>
      </c>
      <c r="B3220" t="s">
        <v>11</v>
      </c>
      <c r="C3220" t="s">
        <v>10</v>
      </c>
      <c r="D3220">
        <v>1355.8679629999999</v>
      </c>
    </row>
    <row r="3221" spans="1:4">
      <c r="A3221" t="s">
        <v>803</v>
      </c>
      <c r="B3221" t="s">
        <v>678</v>
      </c>
      <c r="C3221" t="s">
        <v>6</v>
      </c>
      <c r="D3221">
        <v>25015.321400000001</v>
      </c>
    </row>
    <row r="3222" spans="1:4">
      <c r="A3222" t="s">
        <v>803</v>
      </c>
      <c r="B3222" t="s">
        <v>10</v>
      </c>
      <c r="C3222" t="s">
        <v>6</v>
      </c>
      <c r="D3222">
        <v>96206.28</v>
      </c>
    </row>
    <row r="3223" spans="1:4">
      <c r="A3223" t="s">
        <v>803</v>
      </c>
      <c r="B3223" t="s">
        <v>11</v>
      </c>
      <c r="C3223" t="s">
        <v>6</v>
      </c>
      <c r="D3223">
        <v>3035.5360930000002</v>
      </c>
    </row>
    <row r="3224" spans="1:4">
      <c r="A3224" t="s">
        <v>803</v>
      </c>
      <c r="B3224" t="s">
        <v>678</v>
      </c>
      <c r="C3224" t="s">
        <v>8</v>
      </c>
      <c r="D3224">
        <v>185.6302</v>
      </c>
    </row>
    <row r="3225" spans="1:4">
      <c r="A3225" t="s">
        <v>803</v>
      </c>
      <c r="B3225" t="s">
        <v>10</v>
      </c>
      <c r="C3225" t="s">
        <v>8</v>
      </c>
      <c r="D3225">
        <v>16060.5471</v>
      </c>
    </row>
    <row r="3226" spans="1:4">
      <c r="A3226" t="s">
        <v>803</v>
      </c>
      <c r="B3226" t="s">
        <v>11</v>
      </c>
      <c r="C3226" t="s">
        <v>8</v>
      </c>
      <c r="D3226">
        <v>43.174291756000002</v>
      </c>
    </row>
    <row r="3227" spans="1:4">
      <c r="A3227" t="s">
        <v>803</v>
      </c>
      <c r="B3227" t="s">
        <v>678</v>
      </c>
      <c r="C3227" t="s">
        <v>15</v>
      </c>
      <c r="D3227">
        <v>242.422282</v>
      </c>
    </row>
    <row r="3228" spans="1:4">
      <c r="A3228" t="s">
        <v>803</v>
      </c>
      <c r="B3228" t="s">
        <v>10</v>
      </c>
      <c r="C3228" t="s">
        <v>15</v>
      </c>
      <c r="D3228">
        <v>23002.585999999999</v>
      </c>
    </row>
    <row r="3229" spans="1:4">
      <c r="A3229" t="s">
        <v>803</v>
      </c>
      <c r="B3229" t="s">
        <v>11</v>
      </c>
      <c r="C3229" t="s">
        <v>15</v>
      </c>
      <c r="D3229">
        <v>449.70838805800003</v>
      </c>
    </row>
    <row r="3230" spans="1:4">
      <c r="A3230" t="s">
        <v>803</v>
      </c>
      <c r="B3230" t="s">
        <v>8</v>
      </c>
      <c r="C3230" t="s">
        <v>11</v>
      </c>
      <c r="D3230">
        <v>5053.9397048150004</v>
      </c>
    </row>
    <row r="3231" spans="1:4">
      <c r="A3231" t="s">
        <v>803</v>
      </c>
      <c r="B3231" t="s">
        <v>678</v>
      </c>
      <c r="C3231" t="s">
        <v>7</v>
      </c>
      <c r="D3231">
        <v>0</v>
      </c>
    </row>
    <row r="3232" spans="1:4">
      <c r="A3232" t="s">
        <v>803</v>
      </c>
      <c r="B3232" t="s">
        <v>10</v>
      </c>
      <c r="C3232" t="s">
        <v>7</v>
      </c>
      <c r="D3232">
        <v>-0.99666293100000003</v>
      </c>
    </row>
    <row r="3233" spans="1:4">
      <c r="A3233" t="s">
        <v>803</v>
      </c>
      <c r="B3233" t="s">
        <v>7</v>
      </c>
      <c r="C3233" t="s">
        <v>8</v>
      </c>
      <c r="D3233">
        <v>-0.99666293100000003</v>
      </c>
    </row>
    <row r="3234" spans="1:4">
      <c r="A3234" t="s">
        <v>803</v>
      </c>
      <c r="B3234" t="s">
        <v>678</v>
      </c>
      <c r="C3234" t="s">
        <v>16</v>
      </c>
      <c r="D3234">
        <v>7397.9764285299998</v>
      </c>
    </row>
    <row r="3235" spans="1:4">
      <c r="A3235" t="s">
        <v>803</v>
      </c>
      <c r="B3235" t="s">
        <v>10</v>
      </c>
      <c r="C3235" t="s">
        <v>16</v>
      </c>
      <c r="D3235">
        <v>36471.446600000003</v>
      </c>
    </row>
    <row r="3236" spans="1:4">
      <c r="A3236" t="s">
        <v>803</v>
      </c>
      <c r="B3236" t="s">
        <v>678</v>
      </c>
      <c r="C3236" t="s">
        <v>17</v>
      </c>
      <c r="D3236">
        <v>0</v>
      </c>
    </row>
    <row r="3237" spans="1:4">
      <c r="A3237" t="s">
        <v>803</v>
      </c>
      <c r="B3237" t="s">
        <v>10</v>
      </c>
      <c r="C3237" t="s">
        <v>17</v>
      </c>
      <c r="D3237">
        <v>687.03319999999997</v>
      </c>
    </row>
    <row r="3238" spans="1:4">
      <c r="A3238" t="s">
        <v>803</v>
      </c>
      <c r="B3238" t="s">
        <v>17</v>
      </c>
      <c r="C3238" t="s">
        <v>16</v>
      </c>
      <c r="D3238">
        <v>687.03319999999997</v>
      </c>
    </row>
    <row r="3239" spans="1:4">
      <c r="A3239" t="s">
        <v>803</v>
      </c>
      <c r="B3239" t="s">
        <v>14</v>
      </c>
      <c r="C3239" t="s">
        <v>678</v>
      </c>
      <c r="D3239">
        <v>21164.39</v>
      </c>
    </row>
    <row r="3240" spans="1:4">
      <c r="A3240" t="s">
        <v>803</v>
      </c>
      <c r="B3240" t="s">
        <v>14</v>
      </c>
      <c r="C3240" t="s">
        <v>10</v>
      </c>
      <c r="D3240">
        <v>62222.97</v>
      </c>
    </row>
    <row r="3241" spans="1:4">
      <c r="A3241" t="s">
        <v>803</v>
      </c>
      <c r="B3241" t="s">
        <v>6</v>
      </c>
      <c r="C3241" t="s">
        <v>14</v>
      </c>
      <c r="D3241">
        <v>83387.360000000001</v>
      </c>
    </row>
    <row r="3242" spans="1:4">
      <c r="A3242" t="s">
        <v>803</v>
      </c>
      <c r="B3242" t="s">
        <v>8</v>
      </c>
      <c r="C3242" t="s">
        <v>14</v>
      </c>
      <c r="D3242">
        <v>0</v>
      </c>
    </row>
    <row r="3243" spans="1:4">
      <c r="A3243" t="s">
        <v>803</v>
      </c>
      <c r="B3243" t="s">
        <v>9</v>
      </c>
      <c r="C3243" t="s">
        <v>678</v>
      </c>
      <c r="D3243">
        <v>4911.4750000000004</v>
      </c>
    </row>
    <row r="3244" spans="1:4">
      <c r="A3244" t="s">
        <v>803</v>
      </c>
      <c r="B3244" t="s">
        <v>9</v>
      </c>
      <c r="C3244" t="s">
        <v>10</v>
      </c>
      <c r="D3244">
        <v>4725.5619999999999</v>
      </c>
    </row>
    <row r="3245" spans="1:4">
      <c r="A3245" t="s">
        <v>803</v>
      </c>
      <c r="B3245" t="s">
        <v>6</v>
      </c>
      <c r="C3245" t="s">
        <v>9</v>
      </c>
      <c r="D3245">
        <v>9637.0370000000003</v>
      </c>
    </row>
    <row r="3246" spans="1:4">
      <c r="A3246" t="s">
        <v>803</v>
      </c>
      <c r="B3246" t="s">
        <v>13</v>
      </c>
      <c r="C3246" t="s">
        <v>678</v>
      </c>
      <c r="D3246">
        <v>7425.8019999999997</v>
      </c>
    </row>
    <row r="3247" spans="1:4">
      <c r="A3247" t="s">
        <v>803</v>
      </c>
      <c r="B3247" t="s">
        <v>13</v>
      </c>
      <c r="C3247" t="s">
        <v>10</v>
      </c>
      <c r="D3247">
        <v>59463.01</v>
      </c>
    </row>
    <row r="3248" spans="1:4">
      <c r="A3248" t="s">
        <v>803</v>
      </c>
      <c r="B3248" t="s">
        <v>6</v>
      </c>
      <c r="C3248" t="s">
        <v>13</v>
      </c>
      <c r="D3248">
        <v>66888.812000000005</v>
      </c>
    </row>
    <row r="3249" spans="1:4">
      <c r="A3249" t="s">
        <v>803</v>
      </c>
      <c r="B3249" t="s">
        <v>8</v>
      </c>
      <c r="C3249" t="s">
        <v>678</v>
      </c>
      <c r="D3249">
        <v>357.41915953</v>
      </c>
    </row>
    <row r="3250" spans="1:4">
      <c r="A3250" t="s">
        <v>803</v>
      </c>
      <c r="B3250" t="s">
        <v>8</v>
      </c>
      <c r="C3250" t="s">
        <v>10</v>
      </c>
      <c r="D3250">
        <v>1564.4869740690001</v>
      </c>
    </row>
    <row r="3251" spans="1:4">
      <c r="A3251" t="s">
        <v>803</v>
      </c>
      <c r="B3251" t="s">
        <v>12</v>
      </c>
      <c r="C3251" t="s">
        <v>678</v>
      </c>
      <c r="D3251">
        <v>292.18251065499999</v>
      </c>
    </row>
    <row r="3252" spans="1:4">
      <c r="A3252" t="s">
        <v>803</v>
      </c>
      <c r="B3252" t="s">
        <v>12</v>
      </c>
      <c r="C3252" t="s">
        <v>10</v>
      </c>
      <c r="D3252">
        <v>5511.1783510599998</v>
      </c>
    </row>
    <row r="3253" spans="1:4">
      <c r="A3253" t="s">
        <v>803</v>
      </c>
      <c r="B3253" t="s">
        <v>8</v>
      </c>
      <c r="C3253" t="s">
        <v>12</v>
      </c>
      <c r="D3253">
        <v>5803.3608617150003</v>
      </c>
    </row>
    <row r="3254" spans="1:4">
      <c r="A3254" t="s">
        <v>803</v>
      </c>
      <c r="B3254" t="s">
        <v>16</v>
      </c>
      <c r="C3254" t="s">
        <v>678</v>
      </c>
      <c r="D3254">
        <v>1131.8381338680001</v>
      </c>
    </row>
    <row r="3255" spans="1:4">
      <c r="A3255" t="s">
        <v>803</v>
      </c>
      <c r="B3255" t="s">
        <v>16</v>
      </c>
      <c r="C3255" t="s">
        <v>10</v>
      </c>
      <c r="D3255">
        <v>34972.413659949998</v>
      </c>
    </row>
    <row r="3256" spans="1:4">
      <c r="A3256" t="s">
        <v>803</v>
      </c>
      <c r="B3256" t="s">
        <v>790</v>
      </c>
      <c r="C3256" t="s">
        <v>678</v>
      </c>
      <c r="D3256">
        <v>0</v>
      </c>
    </row>
    <row r="3257" spans="1:4">
      <c r="A3257" t="s">
        <v>803</v>
      </c>
      <c r="B3257" t="s">
        <v>790</v>
      </c>
      <c r="C3257" t="s">
        <v>10</v>
      </c>
      <c r="D3257">
        <v>0</v>
      </c>
    </row>
    <row r="3258" spans="1:4">
      <c r="A3258" t="s">
        <v>803</v>
      </c>
      <c r="B3258" t="s">
        <v>8</v>
      </c>
      <c r="C3258" t="s">
        <v>790</v>
      </c>
      <c r="D3258">
        <v>0</v>
      </c>
    </row>
    <row r="3259" spans="1:4">
      <c r="A3259" t="s">
        <v>803</v>
      </c>
      <c r="B3259" t="s">
        <v>8</v>
      </c>
      <c r="C3259" t="s">
        <v>6</v>
      </c>
      <c r="D3259">
        <v>3509.151507</v>
      </c>
    </row>
    <row r="3260" spans="1:4">
      <c r="A3260" t="s">
        <v>803</v>
      </c>
      <c r="B3260" t="s">
        <v>15</v>
      </c>
      <c r="C3260" t="s">
        <v>6</v>
      </c>
      <c r="D3260">
        <v>16355.9</v>
      </c>
    </row>
    <row r="3261" spans="1:4">
      <c r="A3261" t="s">
        <v>803</v>
      </c>
      <c r="B3261" t="s">
        <v>5</v>
      </c>
      <c r="C3261" t="s">
        <v>6</v>
      </c>
      <c r="D3261">
        <v>15791.02</v>
      </c>
    </row>
    <row r="3262" spans="1:4">
      <c r="A3262" t="s">
        <v>803</v>
      </c>
      <c r="B3262" t="s">
        <v>15</v>
      </c>
      <c r="C3262" t="s">
        <v>5</v>
      </c>
      <c r="D3262">
        <v>15791.02</v>
      </c>
    </row>
    <row r="3263" spans="1:4">
      <c r="A3263" t="s">
        <v>803</v>
      </c>
      <c r="B3263" t="s">
        <v>6</v>
      </c>
      <c r="C3263" t="s">
        <v>8</v>
      </c>
      <c r="D3263">
        <v>0</v>
      </c>
    </row>
    <row r="3264" spans="1:4">
      <c r="A3264" t="s">
        <v>803</v>
      </c>
      <c r="B3264" t="s">
        <v>16</v>
      </c>
      <c r="C3264" t="s">
        <v>15</v>
      </c>
      <c r="D3264">
        <v>8452.2044347110004</v>
      </c>
    </row>
    <row r="3265" spans="1:4">
      <c r="A3265" t="s">
        <v>803</v>
      </c>
      <c r="B3265" t="s">
        <v>15</v>
      </c>
      <c r="C3265" t="s">
        <v>8</v>
      </c>
      <c r="D3265">
        <v>3.2783030000000002E-3</v>
      </c>
    </row>
    <row r="3266" spans="1:4">
      <c r="A3266" t="s">
        <v>804</v>
      </c>
      <c r="B3266" t="s">
        <v>678</v>
      </c>
      <c r="C3266" t="s">
        <v>678</v>
      </c>
      <c r="D3266">
        <v>7853.8572000000004</v>
      </c>
    </row>
    <row r="3267" spans="1:4">
      <c r="A3267" t="s">
        <v>804</v>
      </c>
      <c r="B3267" t="s">
        <v>10</v>
      </c>
      <c r="C3267" t="s">
        <v>678</v>
      </c>
      <c r="D3267">
        <v>12370.3572</v>
      </c>
    </row>
    <row r="3268" spans="1:4">
      <c r="A3268" t="s">
        <v>804</v>
      </c>
      <c r="B3268" t="s">
        <v>678</v>
      </c>
      <c r="C3268" t="s">
        <v>10</v>
      </c>
      <c r="D3268">
        <v>19988.281999999999</v>
      </c>
    </row>
    <row r="3269" spans="1:4">
      <c r="A3269" t="s">
        <v>804</v>
      </c>
      <c r="B3269" t="s">
        <v>10</v>
      </c>
      <c r="C3269" t="s">
        <v>10</v>
      </c>
      <c r="D3269">
        <v>211382.64</v>
      </c>
    </row>
    <row r="3270" spans="1:4">
      <c r="A3270" t="s">
        <v>804</v>
      </c>
      <c r="B3270" t="s">
        <v>11</v>
      </c>
      <c r="C3270" t="s">
        <v>678</v>
      </c>
      <c r="D3270">
        <v>4514.7048100000002</v>
      </c>
    </row>
    <row r="3271" spans="1:4">
      <c r="A3271" t="s">
        <v>804</v>
      </c>
      <c r="B3271" t="s">
        <v>11</v>
      </c>
      <c r="C3271" t="s">
        <v>10</v>
      </c>
      <c r="D3271">
        <v>29235.990590000001</v>
      </c>
    </row>
    <row r="3272" spans="1:4">
      <c r="A3272" t="s">
        <v>804</v>
      </c>
      <c r="B3272" t="s">
        <v>678</v>
      </c>
      <c r="C3272" t="s">
        <v>6</v>
      </c>
      <c r="D3272">
        <v>18282.967100000002</v>
      </c>
    </row>
    <row r="3273" spans="1:4">
      <c r="A3273" t="s">
        <v>804</v>
      </c>
      <c r="B3273" t="s">
        <v>10</v>
      </c>
      <c r="C3273" t="s">
        <v>6</v>
      </c>
      <c r="D3273">
        <v>161142.49</v>
      </c>
    </row>
    <row r="3274" spans="1:4">
      <c r="A3274" t="s">
        <v>804</v>
      </c>
      <c r="B3274" t="s">
        <v>11</v>
      </c>
      <c r="C3274" t="s">
        <v>6</v>
      </c>
      <c r="D3274">
        <v>33592.389840000003</v>
      </c>
    </row>
    <row r="3275" spans="1:4">
      <c r="A3275" t="s">
        <v>804</v>
      </c>
      <c r="B3275" t="s">
        <v>678</v>
      </c>
      <c r="C3275" t="s">
        <v>8</v>
      </c>
      <c r="D3275">
        <v>14.0962102</v>
      </c>
    </row>
    <row r="3276" spans="1:4">
      <c r="A3276" t="s">
        <v>804</v>
      </c>
      <c r="B3276" t="s">
        <v>10</v>
      </c>
      <c r="C3276" t="s">
        <v>8</v>
      </c>
      <c r="D3276">
        <v>24265.281999999999</v>
      </c>
    </row>
    <row r="3277" spans="1:4">
      <c r="A3277" t="s">
        <v>804</v>
      </c>
      <c r="B3277" t="s">
        <v>11</v>
      </c>
      <c r="C3277" t="s">
        <v>8</v>
      </c>
      <c r="D3277">
        <v>1897.4189132219999</v>
      </c>
    </row>
    <row r="3278" spans="1:4">
      <c r="A3278" t="s">
        <v>804</v>
      </c>
      <c r="B3278" t="s">
        <v>678</v>
      </c>
      <c r="C3278" t="s">
        <v>15</v>
      </c>
      <c r="D3278">
        <v>339.29221999999999</v>
      </c>
    </row>
    <row r="3279" spans="1:4">
      <c r="A3279" t="s">
        <v>804</v>
      </c>
      <c r="B3279" t="s">
        <v>10</v>
      </c>
      <c r="C3279" t="s">
        <v>15</v>
      </c>
      <c r="D3279">
        <v>45978.239000000001</v>
      </c>
    </row>
    <row r="3280" spans="1:4">
      <c r="A3280" t="s">
        <v>804</v>
      </c>
      <c r="B3280" t="s">
        <v>11</v>
      </c>
      <c r="C3280" t="s">
        <v>15</v>
      </c>
      <c r="D3280">
        <v>3698.1690777099998</v>
      </c>
    </row>
    <row r="3281" spans="1:4">
      <c r="A3281" t="s">
        <v>804</v>
      </c>
      <c r="B3281" t="s">
        <v>8</v>
      </c>
      <c r="C3281" t="s">
        <v>11</v>
      </c>
      <c r="D3281">
        <v>72938.673230932007</v>
      </c>
    </row>
    <row r="3282" spans="1:4">
      <c r="A3282" t="s">
        <v>804</v>
      </c>
      <c r="B3282" t="s">
        <v>678</v>
      </c>
      <c r="C3282" t="s">
        <v>7</v>
      </c>
      <c r="D3282">
        <v>18.773439716999999</v>
      </c>
    </row>
    <row r="3283" spans="1:4">
      <c r="A3283" t="s">
        <v>804</v>
      </c>
      <c r="B3283" t="s">
        <v>10</v>
      </c>
      <c r="C3283" t="s">
        <v>7</v>
      </c>
      <c r="D3283">
        <v>214.21413359499999</v>
      </c>
    </row>
    <row r="3284" spans="1:4">
      <c r="A3284" t="s">
        <v>804</v>
      </c>
      <c r="B3284" t="s">
        <v>7</v>
      </c>
      <c r="C3284" t="s">
        <v>8</v>
      </c>
      <c r="D3284">
        <v>232.98757331199999</v>
      </c>
    </row>
    <row r="3285" spans="1:4">
      <c r="A3285" t="s">
        <v>804</v>
      </c>
      <c r="B3285" t="s">
        <v>678</v>
      </c>
      <c r="C3285" t="s">
        <v>16</v>
      </c>
      <c r="D3285">
        <v>2584.6715312800002</v>
      </c>
    </row>
    <row r="3286" spans="1:4">
      <c r="A3286" t="s">
        <v>804</v>
      </c>
      <c r="B3286" t="s">
        <v>10</v>
      </c>
      <c r="C3286" t="s">
        <v>16</v>
      </c>
      <c r="D3286">
        <v>34951.955375999998</v>
      </c>
    </row>
    <row r="3287" spans="1:4">
      <c r="A3287" t="s">
        <v>804</v>
      </c>
      <c r="B3287" t="s">
        <v>678</v>
      </c>
      <c r="C3287" t="s">
        <v>17</v>
      </c>
      <c r="D3287">
        <v>0</v>
      </c>
    </row>
    <row r="3288" spans="1:4">
      <c r="A3288" t="s">
        <v>804</v>
      </c>
      <c r="B3288" t="s">
        <v>10</v>
      </c>
      <c r="C3288" t="s">
        <v>17</v>
      </c>
      <c r="D3288">
        <v>1902.914</v>
      </c>
    </row>
    <row r="3289" spans="1:4">
      <c r="A3289" t="s">
        <v>804</v>
      </c>
      <c r="B3289" t="s">
        <v>17</v>
      </c>
      <c r="C3289" t="s">
        <v>16</v>
      </c>
      <c r="D3289">
        <v>1902.914</v>
      </c>
    </row>
    <row r="3290" spans="1:4">
      <c r="A3290" t="s">
        <v>804</v>
      </c>
      <c r="B3290" t="s">
        <v>14</v>
      </c>
      <c r="C3290" t="s">
        <v>678</v>
      </c>
      <c r="D3290">
        <v>11022.4</v>
      </c>
    </row>
    <row r="3291" spans="1:4">
      <c r="A3291" t="s">
        <v>804</v>
      </c>
      <c r="B3291" t="s">
        <v>14</v>
      </c>
      <c r="C3291" t="s">
        <v>10</v>
      </c>
      <c r="D3291">
        <v>80980.17</v>
      </c>
    </row>
    <row r="3292" spans="1:4">
      <c r="A3292" t="s">
        <v>804</v>
      </c>
      <c r="B3292" t="s">
        <v>6</v>
      </c>
      <c r="C3292" t="s">
        <v>14</v>
      </c>
      <c r="D3292">
        <v>92002.57</v>
      </c>
    </row>
    <row r="3293" spans="1:4">
      <c r="A3293" t="s">
        <v>804</v>
      </c>
      <c r="B3293" t="s">
        <v>8</v>
      </c>
      <c r="C3293" t="s">
        <v>14</v>
      </c>
      <c r="D3293">
        <v>0</v>
      </c>
    </row>
    <row r="3294" spans="1:4">
      <c r="A3294" t="s">
        <v>804</v>
      </c>
      <c r="B3294" t="s">
        <v>9</v>
      </c>
      <c r="C3294" t="s">
        <v>678</v>
      </c>
      <c r="D3294">
        <v>8240.6687999999995</v>
      </c>
    </row>
    <row r="3295" spans="1:4">
      <c r="A3295" t="s">
        <v>804</v>
      </c>
      <c r="B3295" t="s">
        <v>9</v>
      </c>
      <c r="C3295" t="s">
        <v>10</v>
      </c>
      <c r="D3295">
        <v>2744.6019999999999</v>
      </c>
    </row>
    <row r="3296" spans="1:4">
      <c r="A3296" t="s">
        <v>804</v>
      </c>
      <c r="B3296" t="s">
        <v>6</v>
      </c>
      <c r="C3296" t="s">
        <v>9</v>
      </c>
      <c r="D3296">
        <v>10985.2708</v>
      </c>
    </row>
    <row r="3297" spans="1:4">
      <c r="A3297" t="s">
        <v>804</v>
      </c>
      <c r="B3297" t="s">
        <v>13</v>
      </c>
      <c r="C3297" t="s">
        <v>678</v>
      </c>
      <c r="D3297">
        <v>3688.46</v>
      </c>
    </row>
    <row r="3298" spans="1:4">
      <c r="A3298" t="s">
        <v>804</v>
      </c>
      <c r="B3298" t="s">
        <v>13</v>
      </c>
      <c r="C3298" t="s">
        <v>10</v>
      </c>
      <c r="D3298">
        <v>80743.42</v>
      </c>
    </row>
    <row r="3299" spans="1:4">
      <c r="A3299" t="s">
        <v>804</v>
      </c>
      <c r="B3299" t="s">
        <v>6</v>
      </c>
      <c r="C3299" t="s">
        <v>13</v>
      </c>
      <c r="D3299">
        <v>84431.88</v>
      </c>
    </row>
    <row r="3300" spans="1:4">
      <c r="A3300" t="s">
        <v>804</v>
      </c>
      <c r="B3300" t="s">
        <v>8</v>
      </c>
      <c r="C3300" t="s">
        <v>678</v>
      </c>
      <c r="D3300">
        <v>-638.29126900300002</v>
      </c>
    </row>
    <row r="3301" spans="1:4">
      <c r="A3301" t="s">
        <v>804</v>
      </c>
      <c r="B3301" t="s">
        <v>8</v>
      </c>
      <c r="C3301" t="s">
        <v>10</v>
      </c>
      <c r="D3301">
        <v>4063.8389195949999</v>
      </c>
    </row>
    <row r="3302" spans="1:4">
      <c r="A3302" t="s">
        <v>804</v>
      </c>
      <c r="B3302" t="s">
        <v>12</v>
      </c>
      <c r="C3302" t="s">
        <v>678</v>
      </c>
      <c r="D3302">
        <v>160.00435883099999</v>
      </c>
    </row>
    <row r="3303" spans="1:4">
      <c r="A3303" t="s">
        <v>804</v>
      </c>
      <c r="B3303" t="s">
        <v>12</v>
      </c>
      <c r="C3303" t="s">
        <v>10</v>
      </c>
      <c r="D3303">
        <v>5568.89116982</v>
      </c>
    </row>
    <row r="3304" spans="1:4">
      <c r="A3304" t="s">
        <v>804</v>
      </c>
      <c r="B3304" t="s">
        <v>8</v>
      </c>
      <c r="C3304" t="s">
        <v>12</v>
      </c>
      <c r="D3304">
        <v>5728.8955286509999</v>
      </c>
    </row>
    <row r="3305" spans="1:4">
      <c r="A3305" t="s">
        <v>804</v>
      </c>
      <c r="B3305" t="s">
        <v>16</v>
      </c>
      <c r="C3305" t="s">
        <v>678</v>
      </c>
      <c r="D3305">
        <v>1869.778651588</v>
      </c>
    </row>
    <row r="3306" spans="1:4">
      <c r="A3306" t="s">
        <v>804</v>
      </c>
      <c r="B3306" t="s">
        <v>16</v>
      </c>
      <c r="C3306" t="s">
        <v>10</v>
      </c>
      <c r="D3306">
        <v>57500.252954511001</v>
      </c>
    </row>
    <row r="3307" spans="1:4">
      <c r="A3307" t="s">
        <v>804</v>
      </c>
      <c r="B3307" t="s">
        <v>790</v>
      </c>
      <c r="C3307" t="s">
        <v>678</v>
      </c>
      <c r="D3307">
        <v>0</v>
      </c>
    </row>
    <row r="3308" spans="1:4">
      <c r="A3308" t="s">
        <v>804</v>
      </c>
      <c r="B3308" t="s">
        <v>790</v>
      </c>
      <c r="C3308" t="s">
        <v>10</v>
      </c>
      <c r="D3308">
        <v>0</v>
      </c>
    </row>
    <row r="3309" spans="1:4">
      <c r="A3309" t="s">
        <v>804</v>
      </c>
      <c r="B3309" t="s">
        <v>8</v>
      </c>
      <c r="C3309" t="s">
        <v>790</v>
      </c>
      <c r="D3309">
        <v>0</v>
      </c>
    </row>
    <row r="3310" spans="1:4">
      <c r="A3310" t="s">
        <v>804</v>
      </c>
      <c r="B3310" t="s">
        <v>8</v>
      </c>
      <c r="C3310" t="s">
        <v>6</v>
      </c>
      <c r="D3310">
        <v>-55683.322139999997</v>
      </c>
    </row>
    <row r="3311" spans="1:4">
      <c r="A3311" t="s">
        <v>804</v>
      </c>
      <c r="B3311" t="s">
        <v>15</v>
      </c>
      <c r="C3311" t="s">
        <v>6</v>
      </c>
      <c r="D3311">
        <v>7745.9059999999999</v>
      </c>
    </row>
    <row r="3312" spans="1:4">
      <c r="A3312" t="s">
        <v>804</v>
      </c>
      <c r="B3312" t="s">
        <v>5</v>
      </c>
      <c r="C3312" t="s">
        <v>6</v>
      </c>
      <c r="D3312">
        <v>22339.29</v>
      </c>
    </row>
    <row r="3313" spans="1:4">
      <c r="A3313" t="s">
        <v>804</v>
      </c>
      <c r="B3313" t="s">
        <v>15</v>
      </c>
      <c r="C3313" t="s">
        <v>5</v>
      </c>
      <c r="D3313">
        <v>22339.29</v>
      </c>
    </row>
    <row r="3314" spans="1:4">
      <c r="A3314" t="s">
        <v>804</v>
      </c>
      <c r="B3314" t="s">
        <v>6</v>
      </c>
      <c r="C3314" t="s">
        <v>8</v>
      </c>
      <c r="D3314">
        <v>0</v>
      </c>
    </row>
    <row r="3315" spans="1:4">
      <c r="A3315" t="s">
        <v>804</v>
      </c>
      <c r="B3315" t="s">
        <v>15</v>
      </c>
      <c r="C3315" t="s">
        <v>16</v>
      </c>
      <c r="D3315">
        <v>19930.490698819001</v>
      </c>
    </row>
    <row r="3316" spans="1:4">
      <c r="A3316" t="s">
        <v>804</v>
      </c>
      <c r="B3316" t="s">
        <v>15</v>
      </c>
      <c r="C3316" t="s">
        <v>8</v>
      </c>
      <c r="D3316">
        <v>9.5734410000000002E-3</v>
      </c>
    </row>
  </sheetData>
  <phoneticPr fontId="0" type="noConversion"/>
  <pageMargins left="0.75" right="0.75" top="1" bottom="1" header="0.5" footer="0.5"/>
  <pageSetup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enableFormatConditionsCalculation="0"/>
  <dimension ref="A1"/>
  <sheetViews>
    <sheetView workbookViewId="0">
      <selection activeCell="D7" sqref="D7"/>
    </sheetView>
  </sheetViews>
  <sheetFormatPr baseColWidth="10" defaultColWidth="8.83203125" defaultRowHeight="12" x14ac:dyDescent="0"/>
  <sheetData/>
  <phoneticPr fontId="0" type="noConversion"/>
  <pageMargins left="0.75" right="0.75" top="1" bottom="1" header="0.5" footer="0.5"/>
  <pageSetup orientation="portrait" horizontalDpi="300"/>
  <drawing r:id="rId1"/>
  <legacyDrawing r:id="rId2"/>
  <oleObjects>
    <mc:AlternateContent xmlns:mc="http://schemas.openxmlformats.org/markup-compatibility/2006">
      <mc:Choice Requires="x14">
        <oleObject progId="Document" dvAspect="DVASPECT_ICON" shapeId="6145" r:id="rId3">
          <objectPr defaultSize="0" r:id="rId4">
            <anchor moveWithCells="1">
              <from>
                <xdr:col>0</xdr:col>
                <xdr:colOff>0</xdr:colOff>
                <xdr:row>0</xdr:row>
                <xdr:rowOff>0</xdr:rowOff>
              </from>
              <to>
                <xdr:col>1</xdr:col>
                <xdr:colOff>342900</xdr:colOff>
                <xdr:row>4</xdr:row>
                <xdr:rowOff>114300</xdr:rowOff>
              </to>
            </anchor>
          </objectPr>
        </oleObject>
      </mc:Choice>
      <mc:Fallback>
        <oleObject progId="Document" dvAspect="DVASPECT_ICON" shapeId="6145" r:id="rId3"/>
      </mc:Fallback>
    </mc:AlternateContent>
  </oleObjects>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dimension ref="A1:S76"/>
  <sheetViews>
    <sheetView tabSelected="1" zoomScale="75" workbookViewId="0">
      <pane xSplit="1" ySplit="1" topLeftCell="B2" activePane="bottomRight" state="frozen"/>
      <selection pane="topRight" activeCell="B1" sqref="B1"/>
      <selection pane="bottomLeft" activeCell="A2" sqref="A2"/>
      <selection pane="bottomRight" activeCell="C1" sqref="C1"/>
    </sheetView>
  </sheetViews>
  <sheetFormatPr baseColWidth="10" defaultColWidth="8.83203125" defaultRowHeight="12" x14ac:dyDescent="0"/>
  <cols>
    <col min="2" max="2" width="36.5" customWidth="1"/>
    <col min="3" max="19" width="6.6640625" customWidth="1"/>
  </cols>
  <sheetData>
    <row r="1" spans="1:19" ht="13" thickBot="1">
      <c r="A1" s="101"/>
      <c r="B1" s="101"/>
      <c r="C1" s="102" t="s">
        <v>886</v>
      </c>
      <c r="D1" s="102" t="s">
        <v>887</v>
      </c>
      <c r="E1" s="50" t="s">
        <v>14</v>
      </c>
      <c r="F1" s="50" t="s">
        <v>13</v>
      </c>
      <c r="G1" s="50" t="s">
        <v>9</v>
      </c>
      <c r="H1" s="50" t="s">
        <v>6</v>
      </c>
      <c r="I1" s="50" t="s">
        <v>8</v>
      </c>
      <c r="J1" s="50" t="s">
        <v>15</v>
      </c>
      <c r="K1" s="50" t="s">
        <v>5</v>
      </c>
      <c r="L1" s="50" t="s">
        <v>17</v>
      </c>
      <c r="M1" s="50" t="s">
        <v>880</v>
      </c>
      <c r="N1" s="50" t="s">
        <v>881</v>
      </c>
      <c r="O1" s="50" t="s">
        <v>884</v>
      </c>
      <c r="P1" s="50" t="s">
        <v>882</v>
      </c>
      <c r="Q1" s="50" t="s">
        <v>883</v>
      </c>
      <c r="R1" s="50" t="s">
        <v>16</v>
      </c>
    </row>
    <row r="2" spans="1:19">
      <c r="A2" s="101" t="s">
        <v>818</v>
      </c>
      <c r="B2" s="101" t="s">
        <v>944</v>
      </c>
      <c r="C2" s="63">
        <v>1</v>
      </c>
      <c r="D2" s="66">
        <v>0</v>
      </c>
      <c r="E2" s="99">
        <v>0</v>
      </c>
      <c r="F2" s="99">
        <v>0</v>
      </c>
      <c r="G2" s="99">
        <v>0</v>
      </c>
      <c r="H2" s="99">
        <v>0</v>
      </c>
      <c r="I2" s="99">
        <v>0</v>
      </c>
      <c r="J2" s="99">
        <v>0</v>
      </c>
      <c r="K2" s="99">
        <v>0</v>
      </c>
      <c r="L2" s="99">
        <v>0</v>
      </c>
      <c r="M2" s="99">
        <v>0</v>
      </c>
      <c r="N2" s="99">
        <v>0</v>
      </c>
      <c r="O2" s="99">
        <v>0</v>
      </c>
      <c r="P2" s="99">
        <v>0</v>
      </c>
      <c r="Q2" s="99">
        <v>0</v>
      </c>
      <c r="R2" s="99">
        <v>0</v>
      </c>
      <c r="S2">
        <f t="shared" ref="S2:S33" si="0">SUM(C2:R2)</f>
        <v>1</v>
      </c>
    </row>
    <row r="3" spans="1:19">
      <c r="A3" s="101" t="s">
        <v>819</v>
      </c>
      <c r="B3" s="101" t="s">
        <v>888</v>
      </c>
      <c r="C3" s="67">
        <v>1</v>
      </c>
      <c r="D3" s="71">
        <v>0</v>
      </c>
      <c r="E3" s="99">
        <v>0</v>
      </c>
      <c r="F3" s="99">
        <v>0</v>
      </c>
      <c r="G3" s="99">
        <v>0</v>
      </c>
      <c r="H3" s="99">
        <v>0</v>
      </c>
      <c r="I3" s="99">
        <v>0</v>
      </c>
      <c r="J3" s="99">
        <v>0</v>
      </c>
      <c r="K3" s="99">
        <v>0</v>
      </c>
      <c r="L3" s="99">
        <v>0</v>
      </c>
      <c r="M3" s="99">
        <v>0</v>
      </c>
      <c r="N3" s="99">
        <v>0</v>
      </c>
      <c r="O3" s="99">
        <v>0</v>
      </c>
      <c r="P3" s="99">
        <v>0</v>
      </c>
      <c r="Q3" s="99">
        <v>0</v>
      </c>
      <c r="R3" s="99">
        <v>0</v>
      </c>
      <c r="S3">
        <f t="shared" si="0"/>
        <v>1</v>
      </c>
    </row>
    <row r="4" spans="1:19">
      <c r="A4" s="101" t="s">
        <v>820</v>
      </c>
      <c r="B4" s="101" t="s">
        <v>889</v>
      </c>
      <c r="C4" s="67">
        <v>1</v>
      </c>
      <c r="D4" s="71">
        <v>0</v>
      </c>
      <c r="E4" s="99">
        <v>0</v>
      </c>
      <c r="F4" s="99">
        <v>0</v>
      </c>
      <c r="G4" s="99">
        <v>0</v>
      </c>
      <c r="H4" s="99">
        <v>0</v>
      </c>
      <c r="I4" s="99">
        <v>0</v>
      </c>
      <c r="J4" s="99">
        <v>0</v>
      </c>
      <c r="K4" s="99">
        <v>0</v>
      </c>
      <c r="L4" s="99">
        <v>0</v>
      </c>
      <c r="M4" s="99">
        <v>0</v>
      </c>
      <c r="N4" s="99">
        <v>0</v>
      </c>
      <c r="O4" s="99">
        <v>0</v>
      </c>
      <c r="P4" s="99">
        <v>0</v>
      </c>
      <c r="Q4" s="99">
        <v>0</v>
      </c>
      <c r="R4" s="99">
        <v>0</v>
      </c>
      <c r="S4">
        <f t="shared" si="0"/>
        <v>1</v>
      </c>
    </row>
    <row r="5" spans="1:19">
      <c r="A5" s="101" t="s">
        <v>821</v>
      </c>
      <c r="B5" s="101" t="s">
        <v>890</v>
      </c>
      <c r="C5" s="67">
        <v>1</v>
      </c>
      <c r="D5" s="71">
        <v>0</v>
      </c>
      <c r="E5" s="99">
        <v>0</v>
      </c>
      <c r="F5" s="99">
        <v>0</v>
      </c>
      <c r="G5" s="99">
        <v>0</v>
      </c>
      <c r="H5" s="99">
        <v>0</v>
      </c>
      <c r="I5" s="99">
        <v>0</v>
      </c>
      <c r="J5" s="99">
        <v>0</v>
      </c>
      <c r="K5" s="99">
        <v>0</v>
      </c>
      <c r="L5" s="99">
        <v>0</v>
      </c>
      <c r="M5" s="99">
        <v>0</v>
      </c>
      <c r="N5" s="99">
        <v>0</v>
      </c>
      <c r="O5" s="99">
        <v>0</v>
      </c>
      <c r="P5" s="99">
        <v>0</v>
      </c>
      <c r="Q5" s="99">
        <v>0</v>
      </c>
      <c r="R5" s="99">
        <v>0</v>
      </c>
      <c r="S5">
        <f t="shared" si="0"/>
        <v>1</v>
      </c>
    </row>
    <row r="6" spans="1:19">
      <c r="A6" s="101" t="s">
        <v>822</v>
      </c>
      <c r="B6" s="101" t="s">
        <v>891</v>
      </c>
      <c r="C6" s="67">
        <v>1</v>
      </c>
      <c r="D6" s="71">
        <v>0</v>
      </c>
      <c r="E6" s="99">
        <v>0</v>
      </c>
      <c r="F6" s="99">
        <v>0</v>
      </c>
      <c r="G6" s="99">
        <v>0</v>
      </c>
      <c r="H6" s="99">
        <v>0</v>
      </c>
      <c r="I6" s="99">
        <v>0</v>
      </c>
      <c r="J6" s="99">
        <v>0</v>
      </c>
      <c r="K6" s="99">
        <v>0</v>
      </c>
      <c r="L6" s="99">
        <v>0</v>
      </c>
      <c r="M6" s="99">
        <v>0</v>
      </c>
      <c r="N6" s="99">
        <v>0</v>
      </c>
      <c r="O6" s="99">
        <v>0</v>
      </c>
      <c r="P6" s="99">
        <v>0</v>
      </c>
      <c r="Q6" s="99">
        <v>0</v>
      </c>
      <c r="R6" s="99">
        <v>0</v>
      </c>
      <c r="S6">
        <f t="shared" si="0"/>
        <v>1</v>
      </c>
    </row>
    <row r="7" spans="1:19">
      <c r="A7" s="101" t="s">
        <v>823</v>
      </c>
      <c r="B7" s="101" t="s">
        <v>892</v>
      </c>
      <c r="C7" s="67">
        <v>1</v>
      </c>
      <c r="D7" s="71">
        <v>0</v>
      </c>
      <c r="E7" s="99">
        <v>0</v>
      </c>
      <c r="F7" s="99">
        <v>0</v>
      </c>
      <c r="G7" s="99">
        <v>0</v>
      </c>
      <c r="H7" s="99">
        <v>0</v>
      </c>
      <c r="I7" s="99">
        <v>0</v>
      </c>
      <c r="J7" s="99">
        <v>0</v>
      </c>
      <c r="K7" s="99">
        <v>0</v>
      </c>
      <c r="L7" s="99">
        <v>0</v>
      </c>
      <c r="M7" s="99">
        <v>0</v>
      </c>
      <c r="N7" s="99">
        <v>0</v>
      </c>
      <c r="O7" s="99">
        <v>0</v>
      </c>
      <c r="P7" s="99">
        <v>0</v>
      </c>
      <c r="Q7" s="99">
        <v>0</v>
      </c>
      <c r="R7" s="99">
        <v>0</v>
      </c>
      <c r="S7">
        <f t="shared" si="0"/>
        <v>1</v>
      </c>
    </row>
    <row r="8" spans="1:19">
      <c r="A8" s="101" t="s">
        <v>824</v>
      </c>
      <c r="B8" s="101" t="s">
        <v>893</v>
      </c>
      <c r="C8" s="67">
        <v>1</v>
      </c>
      <c r="D8" s="71">
        <v>0</v>
      </c>
      <c r="E8" s="99">
        <v>0</v>
      </c>
      <c r="F8" s="99">
        <v>0</v>
      </c>
      <c r="G8" s="99">
        <v>0</v>
      </c>
      <c r="H8" s="99">
        <v>0</v>
      </c>
      <c r="I8" s="99">
        <v>0</v>
      </c>
      <c r="J8" s="99">
        <v>0</v>
      </c>
      <c r="K8" s="99">
        <v>0</v>
      </c>
      <c r="L8" s="99">
        <v>0</v>
      </c>
      <c r="M8" s="99">
        <v>0</v>
      </c>
      <c r="N8" s="99">
        <v>0</v>
      </c>
      <c r="O8" s="99">
        <v>0</v>
      </c>
      <c r="P8" s="99">
        <v>0</v>
      </c>
      <c r="Q8" s="99">
        <v>0</v>
      </c>
      <c r="R8" s="99">
        <v>0</v>
      </c>
      <c r="S8">
        <f t="shared" si="0"/>
        <v>1</v>
      </c>
    </row>
    <row r="9" spans="1:19">
      <c r="A9" s="101" t="s">
        <v>825</v>
      </c>
      <c r="B9" s="101" t="s">
        <v>894</v>
      </c>
      <c r="C9" s="67">
        <v>1</v>
      </c>
      <c r="D9" s="71">
        <v>0</v>
      </c>
      <c r="E9" s="99">
        <v>0</v>
      </c>
      <c r="F9" s="99">
        <v>0</v>
      </c>
      <c r="G9" s="99">
        <v>0</v>
      </c>
      <c r="H9" s="99">
        <v>0</v>
      </c>
      <c r="I9" s="99">
        <v>0</v>
      </c>
      <c r="J9" s="99">
        <v>0</v>
      </c>
      <c r="K9" s="99">
        <v>0</v>
      </c>
      <c r="L9" s="99">
        <v>0</v>
      </c>
      <c r="M9" s="99">
        <v>0</v>
      </c>
      <c r="N9" s="99">
        <v>0</v>
      </c>
      <c r="O9" s="99">
        <v>0</v>
      </c>
      <c r="P9" s="99">
        <v>0</v>
      </c>
      <c r="Q9" s="99">
        <v>0</v>
      </c>
      <c r="R9" s="99">
        <v>0</v>
      </c>
      <c r="S9">
        <f t="shared" si="0"/>
        <v>1</v>
      </c>
    </row>
    <row r="10" spans="1:19">
      <c r="A10" s="101" t="s">
        <v>826</v>
      </c>
      <c r="B10" s="101" t="s">
        <v>895</v>
      </c>
      <c r="C10" s="67">
        <v>1</v>
      </c>
      <c r="D10" s="71">
        <v>0</v>
      </c>
      <c r="E10" s="99">
        <v>0</v>
      </c>
      <c r="F10" s="99">
        <v>0</v>
      </c>
      <c r="G10" s="99">
        <v>0</v>
      </c>
      <c r="H10" s="99">
        <v>0</v>
      </c>
      <c r="I10" s="99">
        <v>0</v>
      </c>
      <c r="J10" s="99">
        <v>0</v>
      </c>
      <c r="K10" s="99">
        <v>0</v>
      </c>
      <c r="L10" s="99">
        <v>0</v>
      </c>
      <c r="M10" s="99">
        <v>0</v>
      </c>
      <c r="N10" s="99">
        <v>0</v>
      </c>
      <c r="O10" s="99">
        <v>0</v>
      </c>
      <c r="P10" s="99">
        <v>0</v>
      </c>
      <c r="Q10" s="99">
        <v>0</v>
      </c>
      <c r="R10" s="99">
        <v>0</v>
      </c>
      <c r="S10">
        <f t="shared" si="0"/>
        <v>1</v>
      </c>
    </row>
    <row r="11" spans="1:19">
      <c r="A11" s="101" t="s">
        <v>827</v>
      </c>
      <c r="B11" s="101" t="s">
        <v>896</v>
      </c>
      <c r="C11" s="67">
        <v>1</v>
      </c>
      <c r="D11" s="71">
        <v>0</v>
      </c>
      <c r="E11" s="99">
        <v>0</v>
      </c>
      <c r="F11" s="99">
        <v>0</v>
      </c>
      <c r="G11" s="99">
        <v>0</v>
      </c>
      <c r="H11" s="99">
        <v>0</v>
      </c>
      <c r="I11" s="99">
        <v>0</v>
      </c>
      <c r="J11" s="99">
        <v>0</v>
      </c>
      <c r="K11" s="99">
        <v>0</v>
      </c>
      <c r="L11" s="99">
        <v>0</v>
      </c>
      <c r="M11" s="99">
        <v>0</v>
      </c>
      <c r="N11" s="99">
        <v>0</v>
      </c>
      <c r="O11" s="99">
        <v>0</v>
      </c>
      <c r="P11" s="99">
        <v>0</v>
      </c>
      <c r="Q11" s="99">
        <v>0</v>
      </c>
      <c r="R11" s="99">
        <v>0</v>
      </c>
      <c r="S11">
        <f t="shared" si="0"/>
        <v>1</v>
      </c>
    </row>
    <row r="12" spans="1:19">
      <c r="A12" s="101" t="s">
        <v>828</v>
      </c>
      <c r="B12" s="101" t="s">
        <v>897</v>
      </c>
      <c r="C12" s="67">
        <v>1</v>
      </c>
      <c r="D12" s="71">
        <v>0</v>
      </c>
      <c r="E12" s="99">
        <v>0</v>
      </c>
      <c r="F12" s="99">
        <v>0</v>
      </c>
      <c r="G12" s="99">
        <v>0</v>
      </c>
      <c r="H12" s="99">
        <v>0</v>
      </c>
      <c r="I12" s="99">
        <v>0</v>
      </c>
      <c r="J12" s="99">
        <v>0</v>
      </c>
      <c r="K12" s="99">
        <v>0</v>
      </c>
      <c r="L12" s="99">
        <v>0</v>
      </c>
      <c r="M12" s="99">
        <v>0</v>
      </c>
      <c r="N12" s="99">
        <v>0</v>
      </c>
      <c r="O12" s="99">
        <v>0</v>
      </c>
      <c r="P12" s="99">
        <v>0</v>
      </c>
      <c r="Q12" s="99">
        <v>0</v>
      </c>
      <c r="R12" s="99">
        <v>0</v>
      </c>
      <c r="S12">
        <f t="shared" si="0"/>
        <v>1</v>
      </c>
    </row>
    <row r="13" spans="1:19">
      <c r="A13" s="101" t="s">
        <v>829</v>
      </c>
      <c r="B13" s="101" t="s">
        <v>898</v>
      </c>
      <c r="C13" s="67">
        <v>1</v>
      </c>
      <c r="D13" s="71">
        <v>0</v>
      </c>
      <c r="E13" s="99">
        <v>0</v>
      </c>
      <c r="F13" s="99">
        <v>0</v>
      </c>
      <c r="G13" s="99">
        <v>0</v>
      </c>
      <c r="H13" s="99">
        <v>0</v>
      </c>
      <c r="I13" s="99">
        <v>0</v>
      </c>
      <c r="J13" s="99">
        <v>0</v>
      </c>
      <c r="K13" s="99">
        <v>0</v>
      </c>
      <c r="L13" s="99">
        <v>0</v>
      </c>
      <c r="M13" s="99">
        <v>0</v>
      </c>
      <c r="N13" s="99">
        <v>0</v>
      </c>
      <c r="O13" s="99">
        <v>0</v>
      </c>
      <c r="P13" s="99">
        <v>0</v>
      </c>
      <c r="Q13" s="99">
        <v>0</v>
      </c>
      <c r="R13" s="99">
        <v>0</v>
      </c>
      <c r="S13">
        <f t="shared" si="0"/>
        <v>1</v>
      </c>
    </row>
    <row r="14" spans="1:19">
      <c r="A14" s="101" t="s">
        <v>830</v>
      </c>
      <c r="B14" s="101" t="s">
        <v>899</v>
      </c>
      <c r="C14" s="67">
        <v>1</v>
      </c>
      <c r="D14" s="71">
        <v>0</v>
      </c>
      <c r="E14" s="99">
        <v>0</v>
      </c>
      <c r="F14" s="99">
        <v>0</v>
      </c>
      <c r="G14" s="99">
        <v>0</v>
      </c>
      <c r="H14" s="99">
        <v>0</v>
      </c>
      <c r="I14" s="99">
        <v>0</v>
      </c>
      <c r="J14" s="99">
        <v>0</v>
      </c>
      <c r="K14" s="99">
        <v>0</v>
      </c>
      <c r="L14" s="99">
        <v>0</v>
      </c>
      <c r="M14" s="99">
        <v>0</v>
      </c>
      <c r="N14" s="99">
        <v>0</v>
      </c>
      <c r="O14" s="99">
        <v>0</v>
      </c>
      <c r="P14" s="99">
        <v>0</v>
      </c>
      <c r="Q14" s="99">
        <v>0</v>
      </c>
      <c r="R14" s="99">
        <v>0</v>
      </c>
      <c r="S14">
        <f t="shared" si="0"/>
        <v>1</v>
      </c>
    </row>
    <row r="15" spans="1:19">
      <c r="A15" s="101" t="s">
        <v>831</v>
      </c>
      <c r="B15" s="101" t="s">
        <v>900</v>
      </c>
      <c r="C15" s="67">
        <v>1</v>
      </c>
      <c r="D15" s="71">
        <v>0</v>
      </c>
      <c r="E15" s="99">
        <v>0</v>
      </c>
      <c r="F15" s="99">
        <v>0</v>
      </c>
      <c r="G15" s="99">
        <v>0</v>
      </c>
      <c r="H15" s="99">
        <v>0</v>
      </c>
      <c r="I15" s="99">
        <v>0</v>
      </c>
      <c r="J15" s="99">
        <v>0</v>
      </c>
      <c r="K15" s="99">
        <v>0</v>
      </c>
      <c r="L15" s="99">
        <v>0</v>
      </c>
      <c r="M15" s="99">
        <v>0</v>
      </c>
      <c r="N15" s="99">
        <v>0</v>
      </c>
      <c r="O15" s="99">
        <v>0</v>
      </c>
      <c r="P15" s="99">
        <v>0</v>
      </c>
      <c r="Q15" s="99">
        <v>0</v>
      </c>
      <c r="R15" s="99">
        <v>0</v>
      </c>
      <c r="S15">
        <f t="shared" si="0"/>
        <v>1</v>
      </c>
    </row>
    <row r="16" spans="1:19">
      <c r="A16" s="101" t="s">
        <v>23</v>
      </c>
      <c r="B16" s="101" t="s">
        <v>901</v>
      </c>
      <c r="C16" s="67">
        <v>0</v>
      </c>
      <c r="D16" s="71">
        <v>1</v>
      </c>
      <c r="E16" s="99">
        <v>0</v>
      </c>
      <c r="F16" s="99">
        <v>0</v>
      </c>
      <c r="G16" s="99">
        <v>0</v>
      </c>
      <c r="H16" s="99">
        <v>0</v>
      </c>
      <c r="I16" s="99">
        <v>0</v>
      </c>
      <c r="J16" s="99">
        <v>0</v>
      </c>
      <c r="K16" s="99">
        <v>0</v>
      </c>
      <c r="L16" s="99">
        <v>0</v>
      </c>
      <c r="M16" s="99">
        <v>0</v>
      </c>
      <c r="N16" s="99">
        <v>0</v>
      </c>
      <c r="O16" s="99">
        <v>0</v>
      </c>
      <c r="P16" s="99">
        <v>0</v>
      </c>
      <c r="Q16" s="99">
        <v>0</v>
      </c>
      <c r="R16" s="99">
        <v>0</v>
      </c>
      <c r="S16">
        <f t="shared" si="0"/>
        <v>1</v>
      </c>
    </row>
    <row r="17" spans="1:19">
      <c r="A17" s="101" t="s">
        <v>832</v>
      </c>
      <c r="B17" s="101" t="s">
        <v>902</v>
      </c>
      <c r="C17" s="67">
        <v>0</v>
      </c>
      <c r="D17" s="71">
        <v>1</v>
      </c>
      <c r="E17" s="99">
        <v>0</v>
      </c>
      <c r="F17" s="99">
        <v>0</v>
      </c>
      <c r="G17" s="99">
        <v>0</v>
      </c>
      <c r="H17" s="99">
        <v>0</v>
      </c>
      <c r="I17" s="99">
        <v>0</v>
      </c>
      <c r="J17" s="99">
        <v>0</v>
      </c>
      <c r="K17" s="99">
        <v>0</v>
      </c>
      <c r="L17" s="99">
        <v>0</v>
      </c>
      <c r="M17" s="99">
        <v>0</v>
      </c>
      <c r="N17" s="99">
        <v>0</v>
      </c>
      <c r="O17" s="99">
        <v>0</v>
      </c>
      <c r="P17" s="99">
        <v>0</v>
      </c>
      <c r="Q17" s="99">
        <v>0</v>
      </c>
      <c r="R17" s="99">
        <v>0</v>
      </c>
      <c r="S17">
        <f t="shared" si="0"/>
        <v>1</v>
      </c>
    </row>
    <row r="18" spans="1:19">
      <c r="A18" s="101" t="s">
        <v>833</v>
      </c>
      <c r="B18" s="101" t="s">
        <v>903</v>
      </c>
      <c r="C18" s="67">
        <v>0</v>
      </c>
      <c r="D18" s="71">
        <v>1</v>
      </c>
      <c r="E18" s="99">
        <v>0</v>
      </c>
      <c r="F18" s="99">
        <v>0</v>
      </c>
      <c r="G18" s="99">
        <v>0</v>
      </c>
      <c r="H18" s="99">
        <v>0</v>
      </c>
      <c r="I18" s="99">
        <v>0</v>
      </c>
      <c r="J18" s="99">
        <v>0</v>
      </c>
      <c r="K18" s="99">
        <v>0</v>
      </c>
      <c r="L18" s="99">
        <v>0</v>
      </c>
      <c r="M18" s="99">
        <v>0</v>
      </c>
      <c r="N18" s="99">
        <v>0</v>
      </c>
      <c r="O18" s="99">
        <v>0</v>
      </c>
      <c r="P18" s="99">
        <v>0</v>
      </c>
      <c r="Q18" s="99">
        <v>0</v>
      </c>
      <c r="R18" s="99">
        <v>0</v>
      </c>
      <c r="S18">
        <f t="shared" si="0"/>
        <v>1</v>
      </c>
    </row>
    <row r="19" spans="1:19">
      <c r="A19" s="101" t="s">
        <v>436</v>
      </c>
      <c r="B19" s="101" t="s">
        <v>904</v>
      </c>
      <c r="C19" s="67">
        <v>0</v>
      </c>
      <c r="D19" s="71">
        <v>1</v>
      </c>
      <c r="E19" s="99">
        <v>0</v>
      </c>
      <c r="F19" s="99">
        <v>0</v>
      </c>
      <c r="G19" s="99">
        <v>0</v>
      </c>
      <c r="H19" s="99">
        <v>0</v>
      </c>
      <c r="I19" s="99">
        <v>0</v>
      </c>
      <c r="J19" s="99">
        <v>0</v>
      </c>
      <c r="K19" s="99">
        <v>0</v>
      </c>
      <c r="L19" s="99">
        <v>0</v>
      </c>
      <c r="M19" s="99">
        <v>0</v>
      </c>
      <c r="N19" s="99">
        <v>0</v>
      </c>
      <c r="O19" s="99">
        <v>0</v>
      </c>
      <c r="P19" s="99">
        <v>0</v>
      </c>
      <c r="Q19" s="99">
        <v>0</v>
      </c>
      <c r="R19" s="99">
        <v>0</v>
      </c>
      <c r="S19">
        <f t="shared" si="0"/>
        <v>1</v>
      </c>
    </row>
    <row r="20" spans="1:19">
      <c r="A20" s="101" t="s">
        <v>834</v>
      </c>
      <c r="B20" s="101" t="s">
        <v>905</v>
      </c>
      <c r="C20" s="67">
        <v>0</v>
      </c>
      <c r="D20" s="71">
        <v>1</v>
      </c>
      <c r="E20" s="99">
        <v>0</v>
      </c>
      <c r="F20" s="99">
        <v>0</v>
      </c>
      <c r="G20" s="99">
        <v>0</v>
      </c>
      <c r="H20" s="99">
        <v>0</v>
      </c>
      <c r="I20" s="99">
        <v>0</v>
      </c>
      <c r="J20" s="99">
        <v>0</v>
      </c>
      <c r="K20" s="99">
        <v>0</v>
      </c>
      <c r="L20" s="99">
        <v>0</v>
      </c>
      <c r="M20" s="99">
        <v>0</v>
      </c>
      <c r="N20" s="99">
        <v>0</v>
      </c>
      <c r="O20" s="99">
        <v>0</v>
      </c>
      <c r="P20" s="99">
        <v>0</v>
      </c>
      <c r="Q20" s="99">
        <v>0</v>
      </c>
      <c r="R20" s="99">
        <v>0</v>
      </c>
      <c r="S20">
        <f t="shared" si="0"/>
        <v>1</v>
      </c>
    </row>
    <row r="21" spans="1:19">
      <c r="A21" s="101" t="s">
        <v>835</v>
      </c>
      <c r="B21" s="101" t="s">
        <v>906</v>
      </c>
      <c r="C21" s="67">
        <v>0</v>
      </c>
      <c r="D21" s="71">
        <v>1</v>
      </c>
      <c r="E21" s="99">
        <v>0</v>
      </c>
      <c r="F21" s="99">
        <v>0</v>
      </c>
      <c r="G21" s="99">
        <v>0</v>
      </c>
      <c r="H21" s="99">
        <v>0</v>
      </c>
      <c r="I21" s="99">
        <v>0</v>
      </c>
      <c r="J21" s="99">
        <v>0</v>
      </c>
      <c r="K21" s="99">
        <v>0</v>
      </c>
      <c r="L21" s="99">
        <v>0</v>
      </c>
      <c r="M21" s="99">
        <v>0</v>
      </c>
      <c r="N21" s="99">
        <v>0</v>
      </c>
      <c r="O21" s="99">
        <v>0</v>
      </c>
      <c r="P21" s="99">
        <v>0</v>
      </c>
      <c r="Q21" s="99">
        <v>0</v>
      </c>
      <c r="R21" s="99">
        <v>0</v>
      </c>
      <c r="S21">
        <f t="shared" si="0"/>
        <v>1</v>
      </c>
    </row>
    <row r="22" spans="1:19">
      <c r="A22" s="101" t="s">
        <v>836</v>
      </c>
      <c r="B22" s="101" t="s">
        <v>907</v>
      </c>
      <c r="C22" s="67">
        <v>0</v>
      </c>
      <c r="D22" s="71">
        <v>1</v>
      </c>
      <c r="E22" s="99">
        <v>0</v>
      </c>
      <c r="F22" s="99">
        <v>0</v>
      </c>
      <c r="G22" s="99">
        <v>0</v>
      </c>
      <c r="H22" s="99">
        <v>0</v>
      </c>
      <c r="I22" s="99">
        <v>0</v>
      </c>
      <c r="J22" s="99">
        <v>0</v>
      </c>
      <c r="K22" s="99">
        <v>0</v>
      </c>
      <c r="L22" s="99">
        <v>0</v>
      </c>
      <c r="M22" s="99">
        <v>0</v>
      </c>
      <c r="N22" s="99">
        <v>0</v>
      </c>
      <c r="O22" s="99">
        <v>0</v>
      </c>
      <c r="P22" s="99">
        <v>0</v>
      </c>
      <c r="Q22" s="99">
        <v>0</v>
      </c>
      <c r="R22" s="99">
        <v>0</v>
      </c>
      <c r="S22">
        <f t="shared" si="0"/>
        <v>1</v>
      </c>
    </row>
    <row r="23" spans="1:19">
      <c r="A23" s="101" t="s">
        <v>837</v>
      </c>
      <c r="B23" s="101" t="s">
        <v>908</v>
      </c>
      <c r="C23" s="67">
        <v>0</v>
      </c>
      <c r="D23" s="71">
        <v>1</v>
      </c>
      <c r="E23" s="99">
        <v>0</v>
      </c>
      <c r="F23" s="99">
        <v>0</v>
      </c>
      <c r="G23" s="99">
        <v>0</v>
      </c>
      <c r="H23" s="99">
        <v>0</v>
      </c>
      <c r="I23" s="99">
        <v>0</v>
      </c>
      <c r="J23" s="99">
        <v>0</v>
      </c>
      <c r="K23" s="99">
        <v>0</v>
      </c>
      <c r="L23" s="99">
        <v>0</v>
      </c>
      <c r="M23" s="99">
        <v>0</v>
      </c>
      <c r="N23" s="99">
        <v>0</v>
      </c>
      <c r="O23" s="99">
        <v>0</v>
      </c>
      <c r="P23" s="99">
        <v>0</v>
      </c>
      <c r="Q23" s="99">
        <v>0</v>
      </c>
      <c r="R23" s="99">
        <v>0</v>
      </c>
      <c r="S23">
        <f t="shared" si="0"/>
        <v>1</v>
      </c>
    </row>
    <row r="24" spans="1:19">
      <c r="A24" s="101" t="s">
        <v>838</v>
      </c>
      <c r="B24" s="101" t="s">
        <v>909</v>
      </c>
      <c r="C24" s="67">
        <v>0</v>
      </c>
      <c r="D24" s="71">
        <v>1</v>
      </c>
      <c r="E24" s="99">
        <v>0</v>
      </c>
      <c r="F24" s="99">
        <v>0</v>
      </c>
      <c r="G24" s="99">
        <v>0</v>
      </c>
      <c r="H24" s="99">
        <v>0</v>
      </c>
      <c r="I24" s="99">
        <v>0</v>
      </c>
      <c r="J24" s="99">
        <v>0</v>
      </c>
      <c r="K24" s="99">
        <v>0</v>
      </c>
      <c r="L24" s="99">
        <v>0</v>
      </c>
      <c r="M24" s="99">
        <v>0</v>
      </c>
      <c r="N24" s="99">
        <v>0</v>
      </c>
      <c r="O24" s="99">
        <v>0</v>
      </c>
      <c r="P24" s="99">
        <v>0</v>
      </c>
      <c r="Q24" s="99">
        <v>0</v>
      </c>
      <c r="R24" s="99">
        <v>0</v>
      </c>
      <c r="S24">
        <f t="shared" si="0"/>
        <v>1</v>
      </c>
    </row>
    <row r="25" spans="1:19">
      <c r="A25" s="101" t="s">
        <v>839</v>
      </c>
      <c r="B25" s="101" t="s">
        <v>910</v>
      </c>
      <c r="C25" s="67">
        <v>0</v>
      </c>
      <c r="D25" s="71">
        <v>1</v>
      </c>
      <c r="E25" s="99">
        <v>0</v>
      </c>
      <c r="F25" s="99">
        <v>0</v>
      </c>
      <c r="G25" s="99">
        <v>0</v>
      </c>
      <c r="H25" s="99">
        <v>0</v>
      </c>
      <c r="I25" s="99">
        <v>0</v>
      </c>
      <c r="J25" s="99">
        <v>0</v>
      </c>
      <c r="K25" s="99">
        <v>0</v>
      </c>
      <c r="L25" s="99">
        <v>0</v>
      </c>
      <c r="M25" s="99">
        <v>0</v>
      </c>
      <c r="N25" s="99">
        <v>0</v>
      </c>
      <c r="O25" s="99">
        <v>0</v>
      </c>
      <c r="P25" s="99">
        <v>0</v>
      </c>
      <c r="Q25" s="99">
        <v>0</v>
      </c>
      <c r="R25" s="99">
        <v>0</v>
      </c>
      <c r="S25">
        <f t="shared" si="0"/>
        <v>1</v>
      </c>
    </row>
    <row r="26" spans="1:19">
      <c r="A26" s="101" t="s">
        <v>840</v>
      </c>
      <c r="B26" s="101" t="s">
        <v>911</v>
      </c>
      <c r="C26" s="67">
        <v>0</v>
      </c>
      <c r="D26" s="71">
        <v>1</v>
      </c>
      <c r="E26" s="99">
        <v>0</v>
      </c>
      <c r="F26" s="99">
        <v>0</v>
      </c>
      <c r="G26" s="99">
        <v>0</v>
      </c>
      <c r="H26" s="99">
        <v>0</v>
      </c>
      <c r="I26" s="99">
        <v>0</v>
      </c>
      <c r="J26" s="99">
        <v>0</v>
      </c>
      <c r="K26" s="99">
        <v>0</v>
      </c>
      <c r="L26" s="99">
        <v>0</v>
      </c>
      <c r="M26" s="99">
        <v>0</v>
      </c>
      <c r="N26" s="99">
        <v>0</v>
      </c>
      <c r="O26" s="99">
        <v>0</v>
      </c>
      <c r="P26" s="99">
        <v>0</v>
      </c>
      <c r="Q26" s="99">
        <v>0</v>
      </c>
      <c r="R26" s="99">
        <v>0</v>
      </c>
      <c r="S26">
        <f t="shared" si="0"/>
        <v>1</v>
      </c>
    </row>
    <row r="27" spans="1:19">
      <c r="A27" s="101" t="s">
        <v>841</v>
      </c>
      <c r="B27" s="101" t="s">
        <v>912</v>
      </c>
      <c r="C27" s="67">
        <v>0</v>
      </c>
      <c r="D27" s="71">
        <v>1</v>
      </c>
      <c r="E27" s="99">
        <v>0</v>
      </c>
      <c r="F27" s="99">
        <v>0</v>
      </c>
      <c r="G27" s="99">
        <v>0</v>
      </c>
      <c r="H27" s="99">
        <v>0</v>
      </c>
      <c r="I27" s="99">
        <v>0</v>
      </c>
      <c r="J27" s="99">
        <v>0</v>
      </c>
      <c r="K27" s="99">
        <v>0</v>
      </c>
      <c r="L27" s="99">
        <v>0</v>
      </c>
      <c r="M27" s="99">
        <v>0</v>
      </c>
      <c r="N27" s="99">
        <v>0</v>
      </c>
      <c r="O27" s="99">
        <v>0</v>
      </c>
      <c r="P27" s="99">
        <v>0</v>
      </c>
      <c r="Q27" s="99">
        <v>0</v>
      </c>
      <c r="R27" s="99">
        <v>0</v>
      </c>
      <c r="S27">
        <f t="shared" si="0"/>
        <v>1</v>
      </c>
    </row>
    <row r="28" spans="1:19">
      <c r="A28" s="101" t="s">
        <v>842</v>
      </c>
      <c r="B28" s="101" t="s">
        <v>913</v>
      </c>
      <c r="C28" s="67">
        <v>0</v>
      </c>
      <c r="D28" s="71">
        <v>1</v>
      </c>
      <c r="E28" s="99">
        <v>0</v>
      </c>
      <c r="F28" s="99">
        <v>0</v>
      </c>
      <c r="G28" s="99">
        <v>0</v>
      </c>
      <c r="H28" s="99">
        <v>0</v>
      </c>
      <c r="I28" s="99">
        <v>0</v>
      </c>
      <c r="J28" s="99">
        <v>0</v>
      </c>
      <c r="K28" s="99">
        <v>0</v>
      </c>
      <c r="L28" s="99">
        <v>0</v>
      </c>
      <c r="M28" s="99">
        <v>0</v>
      </c>
      <c r="N28" s="99">
        <v>0</v>
      </c>
      <c r="O28" s="99">
        <v>0</v>
      </c>
      <c r="P28" s="99">
        <v>0</v>
      </c>
      <c r="Q28" s="99">
        <v>0</v>
      </c>
      <c r="R28" s="99">
        <v>0</v>
      </c>
      <c r="S28">
        <f t="shared" si="0"/>
        <v>1</v>
      </c>
    </row>
    <row r="29" spans="1:19">
      <c r="A29" s="101" t="s">
        <v>843</v>
      </c>
      <c r="B29" s="101" t="s">
        <v>914</v>
      </c>
      <c r="C29" s="67">
        <v>0</v>
      </c>
      <c r="D29" s="71">
        <v>1</v>
      </c>
      <c r="E29" s="99">
        <v>0</v>
      </c>
      <c r="F29" s="99">
        <v>0</v>
      </c>
      <c r="G29" s="99">
        <v>0</v>
      </c>
      <c r="H29" s="99">
        <v>0</v>
      </c>
      <c r="I29" s="99">
        <v>0</v>
      </c>
      <c r="J29" s="99">
        <v>0</v>
      </c>
      <c r="K29" s="99">
        <v>0</v>
      </c>
      <c r="L29" s="99">
        <v>0</v>
      </c>
      <c r="M29" s="99">
        <v>0</v>
      </c>
      <c r="N29" s="99">
        <v>0</v>
      </c>
      <c r="O29" s="99">
        <v>0</v>
      </c>
      <c r="P29" s="99">
        <v>0</v>
      </c>
      <c r="Q29" s="99">
        <v>0</v>
      </c>
      <c r="R29" s="99">
        <v>0</v>
      </c>
      <c r="S29">
        <f t="shared" si="0"/>
        <v>1</v>
      </c>
    </row>
    <row r="30" spans="1:19">
      <c r="A30" s="101" t="s">
        <v>844</v>
      </c>
      <c r="B30" s="101" t="s">
        <v>915</v>
      </c>
      <c r="C30" s="67">
        <v>0</v>
      </c>
      <c r="D30" s="71">
        <v>1</v>
      </c>
      <c r="E30" s="99">
        <v>0</v>
      </c>
      <c r="F30" s="99">
        <v>0</v>
      </c>
      <c r="G30" s="99">
        <v>0</v>
      </c>
      <c r="H30" s="99">
        <v>0</v>
      </c>
      <c r="I30" s="99">
        <v>0</v>
      </c>
      <c r="J30" s="99">
        <v>0</v>
      </c>
      <c r="K30" s="99">
        <v>0</v>
      </c>
      <c r="L30" s="99">
        <v>0</v>
      </c>
      <c r="M30" s="99">
        <v>0</v>
      </c>
      <c r="N30" s="99">
        <v>0</v>
      </c>
      <c r="O30" s="99">
        <v>0</v>
      </c>
      <c r="P30" s="99">
        <v>0</v>
      </c>
      <c r="Q30" s="99">
        <v>0</v>
      </c>
      <c r="R30" s="99">
        <v>0</v>
      </c>
      <c r="S30">
        <f t="shared" si="0"/>
        <v>1</v>
      </c>
    </row>
    <row r="31" spans="1:19">
      <c r="A31" s="101" t="s">
        <v>845</v>
      </c>
      <c r="B31" s="101" t="s">
        <v>916</v>
      </c>
      <c r="C31" s="67">
        <v>0</v>
      </c>
      <c r="D31" s="71">
        <v>1</v>
      </c>
      <c r="E31" s="99">
        <v>0</v>
      </c>
      <c r="F31" s="99">
        <v>0</v>
      </c>
      <c r="G31" s="99">
        <v>0</v>
      </c>
      <c r="H31" s="99">
        <v>0</v>
      </c>
      <c r="I31" s="99">
        <v>0</v>
      </c>
      <c r="J31" s="99">
        <v>0</v>
      </c>
      <c r="K31" s="99">
        <v>0</v>
      </c>
      <c r="L31" s="99">
        <v>0</v>
      </c>
      <c r="M31" s="99">
        <v>0</v>
      </c>
      <c r="N31" s="99">
        <v>0</v>
      </c>
      <c r="O31" s="99">
        <v>0</v>
      </c>
      <c r="P31" s="99">
        <v>0</v>
      </c>
      <c r="Q31" s="99">
        <v>0</v>
      </c>
      <c r="R31" s="99">
        <v>0</v>
      </c>
      <c r="S31">
        <f t="shared" si="0"/>
        <v>1</v>
      </c>
    </row>
    <row r="32" spans="1:19">
      <c r="A32" s="101" t="s">
        <v>846</v>
      </c>
      <c r="B32" s="101" t="s">
        <v>917</v>
      </c>
      <c r="C32" s="67">
        <v>0</v>
      </c>
      <c r="D32" s="71">
        <v>1</v>
      </c>
      <c r="E32" s="99">
        <v>0</v>
      </c>
      <c r="F32" s="99">
        <v>0</v>
      </c>
      <c r="G32" s="99">
        <v>0</v>
      </c>
      <c r="H32" s="99">
        <v>0</v>
      </c>
      <c r="I32" s="99">
        <v>0</v>
      </c>
      <c r="J32" s="99">
        <v>0</v>
      </c>
      <c r="K32" s="99">
        <v>0</v>
      </c>
      <c r="L32" s="99">
        <v>0</v>
      </c>
      <c r="M32" s="99">
        <v>0</v>
      </c>
      <c r="N32" s="99">
        <v>0</v>
      </c>
      <c r="O32" s="99">
        <v>0</v>
      </c>
      <c r="P32" s="99">
        <v>0</v>
      </c>
      <c r="Q32" s="99">
        <v>0</v>
      </c>
      <c r="R32" s="99">
        <v>0</v>
      </c>
      <c r="S32">
        <f t="shared" si="0"/>
        <v>1</v>
      </c>
    </row>
    <row r="33" spans="1:19">
      <c r="A33" s="101" t="s">
        <v>847</v>
      </c>
      <c r="B33" s="101" t="s">
        <v>918</v>
      </c>
      <c r="C33" s="67">
        <v>0</v>
      </c>
      <c r="D33" s="71">
        <v>1</v>
      </c>
      <c r="E33" s="99">
        <v>0</v>
      </c>
      <c r="F33" s="99">
        <v>0</v>
      </c>
      <c r="G33" s="99">
        <v>0</v>
      </c>
      <c r="H33" s="99">
        <v>0</v>
      </c>
      <c r="I33" s="99">
        <v>0</v>
      </c>
      <c r="J33" s="99">
        <v>0</v>
      </c>
      <c r="K33" s="99">
        <v>0</v>
      </c>
      <c r="L33" s="99">
        <v>0</v>
      </c>
      <c r="M33" s="99">
        <v>0</v>
      </c>
      <c r="N33" s="99">
        <v>0</v>
      </c>
      <c r="O33" s="99">
        <v>0</v>
      </c>
      <c r="P33" s="99">
        <v>0</v>
      </c>
      <c r="Q33" s="99">
        <v>0</v>
      </c>
      <c r="R33" s="99">
        <v>0</v>
      </c>
      <c r="S33">
        <f t="shared" si="0"/>
        <v>1</v>
      </c>
    </row>
    <row r="34" spans="1:19">
      <c r="A34" s="101" t="s">
        <v>848</v>
      </c>
      <c r="B34" s="101" t="s">
        <v>919</v>
      </c>
      <c r="C34" s="67">
        <v>0</v>
      </c>
      <c r="D34" s="71">
        <v>1</v>
      </c>
      <c r="E34" s="99">
        <v>0</v>
      </c>
      <c r="F34" s="99">
        <v>0</v>
      </c>
      <c r="G34" s="99">
        <v>0</v>
      </c>
      <c r="H34" s="99">
        <v>0</v>
      </c>
      <c r="I34" s="99">
        <v>0</v>
      </c>
      <c r="J34" s="99">
        <v>0</v>
      </c>
      <c r="K34" s="99">
        <v>0</v>
      </c>
      <c r="L34" s="99">
        <v>0</v>
      </c>
      <c r="M34" s="99">
        <v>0</v>
      </c>
      <c r="N34" s="99">
        <v>0</v>
      </c>
      <c r="O34" s="99">
        <v>0</v>
      </c>
      <c r="P34" s="99">
        <v>0</v>
      </c>
      <c r="Q34" s="99">
        <v>0</v>
      </c>
      <c r="R34" s="99">
        <v>0</v>
      </c>
      <c r="S34">
        <f t="shared" ref="S34:S65" si="1">SUM(C34:R34)</f>
        <v>1</v>
      </c>
    </row>
    <row r="35" spans="1:19">
      <c r="A35" s="101" t="s">
        <v>849</v>
      </c>
      <c r="B35" s="101" t="s">
        <v>920</v>
      </c>
      <c r="C35" s="67">
        <v>0</v>
      </c>
      <c r="D35" s="71">
        <v>1</v>
      </c>
      <c r="E35" s="99">
        <v>0</v>
      </c>
      <c r="F35" s="99">
        <v>0</v>
      </c>
      <c r="G35" s="99">
        <v>0</v>
      </c>
      <c r="H35" s="99">
        <v>0</v>
      </c>
      <c r="I35" s="99">
        <v>0</v>
      </c>
      <c r="J35" s="99">
        <v>0</v>
      </c>
      <c r="K35" s="99">
        <v>0</v>
      </c>
      <c r="L35" s="99">
        <v>0</v>
      </c>
      <c r="M35" s="99">
        <v>0</v>
      </c>
      <c r="N35" s="99">
        <v>0</v>
      </c>
      <c r="O35" s="99">
        <v>0</v>
      </c>
      <c r="P35" s="99">
        <v>0</v>
      </c>
      <c r="Q35" s="99">
        <v>0</v>
      </c>
      <c r="R35" s="99">
        <v>0</v>
      </c>
      <c r="S35">
        <f t="shared" si="1"/>
        <v>1</v>
      </c>
    </row>
    <row r="36" spans="1:19">
      <c r="A36" s="101" t="s">
        <v>850</v>
      </c>
      <c r="B36" s="101" t="s">
        <v>921</v>
      </c>
      <c r="C36" s="67">
        <v>0</v>
      </c>
      <c r="D36" s="71">
        <v>1</v>
      </c>
      <c r="E36" s="99">
        <v>0</v>
      </c>
      <c r="F36" s="99">
        <v>0</v>
      </c>
      <c r="G36" s="99">
        <v>0</v>
      </c>
      <c r="H36" s="99">
        <v>0</v>
      </c>
      <c r="I36" s="99">
        <v>0</v>
      </c>
      <c r="J36" s="99">
        <v>0</v>
      </c>
      <c r="K36" s="99">
        <v>0</v>
      </c>
      <c r="L36" s="99">
        <v>0</v>
      </c>
      <c r="M36" s="99">
        <v>0</v>
      </c>
      <c r="N36" s="99">
        <v>0</v>
      </c>
      <c r="O36" s="99">
        <v>0</v>
      </c>
      <c r="P36" s="99">
        <v>0</v>
      </c>
      <c r="Q36" s="99">
        <v>0</v>
      </c>
      <c r="R36" s="99">
        <v>0</v>
      </c>
      <c r="S36">
        <f t="shared" si="1"/>
        <v>1</v>
      </c>
    </row>
    <row r="37" spans="1:19">
      <c r="A37" s="101" t="s">
        <v>851</v>
      </c>
      <c r="B37" s="101" t="s">
        <v>922</v>
      </c>
      <c r="C37" s="67">
        <v>0</v>
      </c>
      <c r="D37" s="71">
        <v>1</v>
      </c>
      <c r="E37" s="99">
        <v>0</v>
      </c>
      <c r="F37" s="99">
        <v>0</v>
      </c>
      <c r="G37" s="99">
        <v>0</v>
      </c>
      <c r="H37" s="99">
        <v>0</v>
      </c>
      <c r="I37" s="99">
        <v>0</v>
      </c>
      <c r="J37" s="99">
        <v>0</v>
      </c>
      <c r="K37" s="99">
        <v>0</v>
      </c>
      <c r="L37" s="99">
        <v>0</v>
      </c>
      <c r="M37" s="99">
        <v>0</v>
      </c>
      <c r="N37" s="99">
        <v>0</v>
      </c>
      <c r="O37" s="99">
        <v>0</v>
      </c>
      <c r="P37" s="99">
        <v>0</v>
      </c>
      <c r="Q37" s="99">
        <v>0</v>
      </c>
      <c r="R37" s="99">
        <v>0</v>
      </c>
      <c r="S37">
        <f t="shared" si="1"/>
        <v>1</v>
      </c>
    </row>
    <row r="38" spans="1:19">
      <c r="A38" s="101" t="s">
        <v>852</v>
      </c>
      <c r="B38" s="101" t="s">
        <v>923</v>
      </c>
      <c r="C38" s="67">
        <v>0</v>
      </c>
      <c r="D38" s="71">
        <v>1</v>
      </c>
      <c r="E38" s="99">
        <v>0</v>
      </c>
      <c r="F38" s="99">
        <v>0</v>
      </c>
      <c r="G38" s="99">
        <v>0</v>
      </c>
      <c r="H38" s="99">
        <v>0</v>
      </c>
      <c r="I38" s="99">
        <v>0</v>
      </c>
      <c r="J38" s="99">
        <v>0</v>
      </c>
      <c r="K38" s="99">
        <v>0</v>
      </c>
      <c r="L38" s="99">
        <v>0</v>
      </c>
      <c r="M38" s="99">
        <v>0</v>
      </c>
      <c r="N38" s="99">
        <v>0</v>
      </c>
      <c r="O38" s="99">
        <v>0</v>
      </c>
      <c r="P38" s="99">
        <v>0</v>
      </c>
      <c r="Q38" s="99">
        <v>0</v>
      </c>
      <c r="R38" s="99">
        <v>0</v>
      </c>
      <c r="S38">
        <f t="shared" si="1"/>
        <v>1</v>
      </c>
    </row>
    <row r="39" spans="1:19">
      <c r="A39" s="101" t="s">
        <v>853</v>
      </c>
      <c r="B39" s="101" t="s">
        <v>924</v>
      </c>
      <c r="C39" s="67">
        <v>0</v>
      </c>
      <c r="D39" s="71">
        <v>1</v>
      </c>
      <c r="E39" s="99">
        <v>0</v>
      </c>
      <c r="F39" s="99">
        <v>0</v>
      </c>
      <c r="G39" s="99">
        <v>0</v>
      </c>
      <c r="H39" s="99">
        <v>0</v>
      </c>
      <c r="I39" s="99">
        <v>0</v>
      </c>
      <c r="J39" s="99">
        <v>0</v>
      </c>
      <c r="K39" s="99">
        <v>0</v>
      </c>
      <c r="L39" s="99">
        <v>0</v>
      </c>
      <c r="M39" s="99">
        <v>0</v>
      </c>
      <c r="N39" s="99">
        <v>0</v>
      </c>
      <c r="O39" s="99">
        <v>0</v>
      </c>
      <c r="P39" s="99">
        <v>0</v>
      </c>
      <c r="Q39" s="99">
        <v>0</v>
      </c>
      <c r="R39" s="99">
        <v>0</v>
      </c>
      <c r="S39">
        <f t="shared" si="1"/>
        <v>1</v>
      </c>
    </row>
    <row r="40" spans="1:19">
      <c r="A40" s="101" t="s">
        <v>854</v>
      </c>
      <c r="B40" s="101" t="s">
        <v>925</v>
      </c>
      <c r="C40" s="67">
        <v>0</v>
      </c>
      <c r="D40" s="71">
        <v>1</v>
      </c>
      <c r="E40" s="99">
        <v>0</v>
      </c>
      <c r="F40" s="99">
        <v>0</v>
      </c>
      <c r="G40" s="99">
        <v>0</v>
      </c>
      <c r="H40" s="99">
        <v>0</v>
      </c>
      <c r="I40" s="99">
        <v>0</v>
      </c>
      <c r="J40" s="99">
        <v>0</v>
      </c>
      <c r="K40" s="99">
        <v>0</v>
      </c>
      <c r="L40" s="99">
        <v>0</v>
      </c>
      <c r="M40" s="99">
        <v>0</v>
      </c>
      <c r="N40" s="99">
        <v>0</v>
      </c>
      <c r="O40" s="99">
        <v>0</v>
      </c>
      <c r="P40" s="99">
        <v>0</v>
      </c>
      <c r="Q40" s="99">
        <v>0</v>
      </c>
      <c r="R40" s="99">
        <v>0</v>
      </c>
      <c r="S40">
        <f t="shared" si="1"/>
        <v>1</v>
      </c>
    </row>
    <row r="41" spans="1:19">
      <c r="A41" s="101" t="s">
        <v>855</v>
      </c>
      <c r="B41" s="101" t="s">
        <v>926</v>
      </c>
      <c r="C41" s="67">
        <v>0</v>
      </c>
      <c r="D41" s="71">
        <v>1</v>
      </c>
      <c r="E41" s="99">
        <v>0</v>
      </c>
      <c r="F41" s="99">
        <v>0</v>
      </c>
      <c r="G41" s="99">
        <v>0</v>
      </c>
      <c r="H41" s="99">
        <v>0</v>
      </c>
      <c r="I41" s="99">
        <v>0</v>
      </c>
      <c r="J41" s="99">
        <v>0</v>
      </c>
      <c r="K41" s="99">
        <v>0</v>
      </c>
      <c r="L41" s="99">
        <v>0</v>
      </c>
      <c r="M41" s="99">
        <v>0</v>
      </c>
      <c r="N41" s="99">
        <v>0</v>
      </c>
      <c r="O41" s="99">
        <v>0</v>
      </c>
      <c r="P41" s="99">
        <v>0</v>
      </c>
      <c r="Q41" s="99">
        <v>0</v>
      </c>
      <c r="R41" s="99">
        <v>0</v>
      </c>
      <c r="S41">
        <f t="shared" si="1"/>
        <v>1</v>
      </c>
    </row>
    <row r="42" spans="1:19">
      <c r="A42" s="101" t="s">
        <v>856</v>
      </c>
      <c r="B42" s="101" t="s">
        <v>927</v>
      </c>
      <c r="C42" s="67">
        <v>0</v>
      </c>
      <c r="D42" s="71">
        <v>1</v>
      </c>
      <c r="E42" s="99">
        <v>0</v>
      </c>
      <c r="F42" s="99">
        <v>0</v>
      </c>
      <c r="G42" s="99">
        <v>0</v>
      </c>
      <c r="H42" s="99">
        <v>0</v>
      </c>
      <c r="I42" s="99">
        <v>0</v>
      </c>
      <c r="J42" s="99">
        <v>0</v>
      </c>
      <c r="K42" s="99">
        <v>0</v>
      </c>
      <c r="L42" s="99">
        <v>0</v>
      </c>
      <c r="M42" s="99">
        <v>0</v>
      </c>
      <c r="N42" s="99">
        <v>0</v>
      </c>
      <c r="O42" s="99">
        <v>0</v>
      </c>
      <c r="P42" s="99">
        <v>0</v>
      </c>
      <c r="Q42" s="99">
        <v>0</v>
      </c>
      <c r="R42" s="99">
        <v>0</v>
      </c>
      <c r="S42">
        <f t="shared" si="1"/>
        <v>1</v>
      </c>
    </row>
    <row r="43" spans="1:19">
      <c r="A43" s="101" t="s">
        <v>857</v>
      </c>
      <c r="B43" s="101" t="s">
        <v>928</v>
      </c>
      <c r="C43" s="67">
        <v>0</v>
      </c>
      <c r="D43" s="71">
        <v>1</v>
      </c>
      <c r="E43" s="99">
        <v>0</v>
      </c>
      <c r="F43" s="99">
        <v>0</v>
      </c>
      <c r="G43" s="99">
        <v>0</v>
      </c>
      <c r="H43" s="99">
        <v>0</v>
      </c>
      <c r="I43" s="99">
        <v>0</v>
      </c>
      <c r="J43" s="99">
        <v>0</v>
      </c>
      <c r="K43" s="99">
        <v>0</v>
      </c>
      <c r="L43" s="99">
        <v>0</v>
      </c>
      <c r="M43" s="99">
        <v>0</v>
      </c>
      <c r="N43" s="99">
        <v>0</v>
      </c>
      <c r="O43" s="99">
        <v>0</v>
      </c>
      <c r="P43" s="99">
        <v>0</v>
      </c>
      <c r="Q43" s="99">
        <v>0</v>
      </c>
      <c r="R43" s="99">
        <v>0</v>
      </c>
      <c r="S43">
        <f t="shared" si="1"/>
        <v>1</v>
      </c>
    </row>
    <row r="44" spans="1:19">
      <c r="A44" s="101" t="s">
        <v>858</v>
      </c>
      <c r="B44" s="101" t="s">
        <v>929</v>
      </c>
      <c r="C44" s="67">
        <v>0</v>
      </c>
      <c r="D44" s="71">
        <v>1</v>
      </c>
      <c r="E44" s="99">
        <v>0</v>
      </c>
      <c r="F44" s="99">
        <v>0</v>
      </c>
      <c r="G44" s="99">
        <v>0</v>
      </c>
      <c r="H44" s="99">
        <v>0</v>
      </c>
      <c r="I44" s="99">
        <v>0</v>
      </c>
      <c r="J44" s="99">
        <v>0</v>
      </c>
      <c r="K44" s="99">
        <v>0</v>
      </c>
      <c r="L44" s="99">
        <v>0</v>
      </c>
      <c r="M44" s="99">
        <v>0</v>
      </c>
      <c r="N44" s="99">
        <v>0</v>
      </c>
      <c r="O44" s="99">
        <v>0</v>
      </c>
      <c r="P44" s="99">
        <v>0</v>
      </c>
      <c r="Q44" s="99">
        <v>0</v>
      </c>
      <c r="R44" s="99">
        <v>0</v>
      </c>
      <c r="S44">
        <f t="shared" si="1"/>
        <v>1</v>
      </c>
    </row>
    <row r="45" spans="1:19">
      <c r="A45" s="101" t="s">
        <v>859</v>
      </c>
      <c r="B45" s="101" t="s">
        <v>930</v>
      </c>
      <c r="C45" s="67">
        <v>0</v>
      </c>
      <c r="D45" s="71">
        <v>1</v>
      </c>
      <c r="E45" s="99">
        <v>0</v>
      </c>
      <c r="F45" s="99">
        <v>0</v>
      </c>
      <c r="G45" s="99">
        <v>0</v>
      </c>
      <c r="H45" s="99">
        <v>0</v>
      </c>
      <c r="I45" s="99">
        <v>0</v>
      </c>
      <c r="J45" s="99">
        <v>0</v>
      </c>
      <c r="K45" s="99">
        <v>0</v>
      </c>
      <c r="L45" s="99">
        <v>0</v>
      </c>
      <c r="M45" s="99">
        <v>0</v>
      </c>
      <c r="N45" s="99">
        <v>0</v>
      </c>
      <c r="O45" s="99">
        <v>0</v>
      </c>
      <c r="P45" s="99">
        <v>0</v>
      </c>
      <c r="Q45" s="99">
        <v>0</v>
      </c>
      <c r="R45" s="99">
        <v>0</v>
      </c>
      <c r="S45">
        <f t="shared" si="1"/>
        <v>1</v>
      </c>
    </row>
    <row r="46" spans="1:19">
      <c r="A46" s="101" t="s">
        <v>860</v>
      </c>
      <c r="B46" s="101" t="s">
        <v>931</v>
      </c>
      <c r="C46" s="67">
        <v>0</v>
      </c>
      <c r="D46" s="71">
        <v>1</v>
      </c>
      <c r="E46" s="99">
        <v>0</v>
      </c>
      <c r="F46" s="99">
        <v>0</v>
      </c>
      <c r="G46" s="99">
        <v>0</v>
      </c>
      <c r="H46" s="99">
        <v>0</v>
      </c>
      <c r="I46" s="99">
        <v>0</v>
      </c>
      <c r="J46" s="99">
        <v>0</v>
      </c>
      <c r="K46" s="99">
        <v>0</v>
      </c>
      <c r="L46" s="99">
        <v>0</v>
      </c>
      <c r="M46" s="99">
        <v>0</v>
      </c>
      <c r="N46" s="99">
        <v>0</v>
      </c>
      <c r="O46" s="99">
        <v>0</v>
      </c>
      <c r="P46" s="99">
        <v>0</v>
      </c>
      <c r="Q46" s="99">
        <v>0</v>
      </c>
      <c r="R46" s="99">
        <v>0</v>
      </c>
      <c r="S46">
        <f t="shared" si="1"/>
        <v>1</v>
      </c>
    </row>
    <row r="47" spans="1:19">
      <c r="A47" s="101" t="s">
        <v>861</v>
      </c>
      <c r="B47" s="101" t="s">
        <v>932</v>
      </c>
      <c r="C47" s="67">
        <v>0</v>
      </c>
      <c r="D47" s="71">
        <v>1</v>
      </c>
      <c r="E47" s="99">
        <v>0</v>
      </c>
      <c r="F47" s="99">
        <v>0</v>
      </c>
      <c r="G47" s="99">
        <v>0</v>
      </c>
      <c r="H47" s="99">
        <v>0</v>
      </c>
      <c r="I47" s="99">
        <v>0</v>
      </c>
      <c r="J47" s="99">
        <v>0</v>
      </c>
      <c r="K47" s="99">
        <v>0</v>
      </c>
      <c r="L47" s="99">
        <v>0</v>
      </c>
      <c r="M47" s="99">
        <v>0</v>
      </c>
      <c r="N47" s="99">
        <v>0</v>
      </c>
      <c r="O47" s="99">
        <v>0</v>
      </c>
      <c r="P47" s="99">
        <v>0</v>
      </c>
      <c r="Q47" s="99">
        <v>0</v>
      </c>
      <c r="R47" s="99">
        <v>0</v>
      </c>
      <c r="S47">
        <f t="shared" si="1"/>
        <v>1</v>
      </c>
    </row>
    <row r="48" spans="1:19">
      <c r="A48" s="101" t="s">
        <v>862</v>
      </c>
      <c r="B48" s="101" t="s">
        <v>933</v>
      </c>
      <c r="C48" s="67">
        <v>0</v>
      </c>
      <c r="D48" s="71">
        <v>1</v>
      </c>
      <c r="E48" s="99">
        <v>0</v>
      </c>
      <c r="F48" s="99">
        <v>0</v>
      </c>
      <c r="G48" s="99">
        <v>0</v>
      </c>
      <c r="H48" s="99">
        <v>0</v>
      </c>
      <c r="I48" s="99">
        <v>0</v>
      </c>
      <c r="J48" s="99">
        <v>0</v>
      </c>
      <c r="K48" s="99">
        <v>0</v>
      </c>
      <c r="L48" s="99">
        <v>0</v>
      </c>
      <c r="M48" s="99">
        <v>0</v>
      </c>
      <c r="N48" s="99">
        <v>0</v>
      </c>
      <c r="O48" s="99">
        <v>0</v>
      </c>
      <c r="P48" s="99">
        <v>0</v>
      </c>
      <c r="Q48" s="99">
        <v>0</v>
      </c>
      <c r="R48" s="99">
        <v>0</v>
      </c>
      <c r="S48">
        <f t="shared" si="1"/>
        <v>1</v>
      </c>
    </row>
    <row r="49" spans="1:19">
      <c r="A49" s="101" t="s">
        <v>863</v>
      </c>
      <c r="B49" s="101" t="s">
        <v>934</v>
      </c>
      <c r="C49" s="67">
        <v>0</v>
      </c>
      <c r="D49" s="71">
        <v>1</v>
      </c>
      <c r="E49" s="99">
        <v>0</v>
      </c>
      <c r="F49" s="99">
        <v>0</v>
      </c>
      <c r="G49" s="99">
        <v>0</v>
      </c>
      <c r="H49" s="99">
        <v>0</v>
      </c>
      <c r="I49" s="99">
        <v>0</v>
      </c>
      <c r="J49" s="99">
        <v>0</v>
      </c>
      <c r="K49" s="99">
        <v>0</v>
      </c>
      <c r="L49" s="99">
        <v>0</v>
      </c>
      <c r="M49" s="99">
        <v>0</v>
      </c>
      <c r="N49" s="99">
        <v>0</v>
      </c>
      <c r="O49" s="99">
        <v>0</v>
      </c>
      <c r="P49" s="99">
        <v>0</v>
      </c>
      <c r="Q49" s="99">
        <v>0</v>
      </c>
      <c r="R49" s="99">
        <v>0</v>
      </c>
      <c r="S49">
        <f t="shared" si="1"/>
        <v>1</v>
      </c>
    </row>
    <row r="50" spans="1:19">
      <c r="A50" s="101" t="s">
        <v>864</v>
      </c>
      <c r="B50" s="101" t="s">
        <v>935</v>
      </c>
      <c r="C50" s="67">
        <v>0</v>
      </c>
      <c r="D50" s="71">
        <v>1</v>
      </c>
      <c r="E50" s="99">
        <v>0</v>
      </c>
      <c r="F50" s="99">
        <v>0</v>
      </c>
      <c r="G50" s="99">
        <v>0</v>
      </c>
      <c r="H50" s="99">
        <v>0</v>
      </c>
      <c r="I50" s="99">
        <v>0</v>
      </c>
      <c r="J50" s="99">
        <v>0</v>
      </c>
      <c r="K50" s="99">
        <v>0</v>
      </c>
      <c r="L50" s="99">
        <v>0</v>
      </c>
      <c r="M50" s="99">
        <v>0</v>
      </c>
      <c r="N50" s="99">
        <v>0</v>
      </c>
      <c r="O50" s="99">
        <v>0</v>
      </c>
      <c r="P50" s="99">
        <v>0</v>
      </c>
      <c r="Q50" s="99">
        <v>0</v>
      </c>
      <c r="R50" s="99">
        <v>0</v>
      </c>
      <c r="S50">
        <f t="shared" si="1"/>
        <v>1</v>
      </c>
    </row>
    <row r="51" spans="1:19">
      <c r="A51" s="101" t="s">
        <v>865</v>
      </c>
      <c r="B51" s="101" t="s">
        <v>936</v>
      </c>
      <c r="C51" s="67">
        <v>0</v>
      </c>
      <c r="D51" s="71">
        <v>1</v>
      </c>
      <c r="E51" s="99">
        <v>0</v>
      </c>
      <c r="F51" s="99">
        <v>0</v>
      </c>
      <c r="G51" s="99">
        <v>0</v>
      </c>
      <c r="H51" s="99">
        <v>0</v>
      </c>
      <c r="I51" s="99">
        <v>0</v>
      </c>
      <c r="J51" s="99">
        <v>0</v>
      </c>
      <c r="K51" s="99">
        <v>0</v>
      </c>
      <c r="L51" s="99">
        <v>0</v>
      </c>
      <c r="M51" s="99">
        <v>0</v>
      </c>
      <c r="N51" s="99">
        <v>0</v>
      </c>
      <c r="O51" s="99">
        <v>0</v>
      </c>
      <c r="P51" s="99">
        <v>0</v>
      </c>
      <c r="Q51" s="99">
        <v>0</v>
      </c>
      <c r="R51" s="99">
        <v>0</v>
      </c>
      <c r="S51">
        <f t="shared" si="1"/>
        <v>1</v>
      </c>
    </row>
    <row r="52" spans="1:19">
      <c r="A52" s="101" t="s">
        <v>866</v>
      </c>
      <c r="B52" s="101" t="s">
        <v>937</v>
      </c>
      <c r="C52" s="67">
        <v>0</v>
      </c>
      <c r="D52" s="71">
        <v>1</v>
      </c>
      <c r="E52" s="99">
        <v>0</v>
      </c>
      <c r="F52" s="99">
        <v>0</v>
      </c>
      <c r="G52" s="99">
        <v>0</v>
      </c>
      <c r="H52" s="99">
        <v>0</v>
      </c>
      <c r="I52" s="99">
        <v>0</v>
      </c>
      <c r="J52" s="99">
        <v>0</v>
      </c>
      <c r="K52" s="99">
        <v>0</v>
      </c>
      <c r="L52" s="99">
        <v>0</v>
      </c>
      <c r="M52" s="99">
        <v>0</v>
      </c>
      <c r="N52" s="99">
        <v>0</v>
      </c>
      <c r="O52" s="99">
        <v>0</v>
      </c>
      <c r="P52" s="99">
        <v>0</v>
      </c>
      <c r="Q52" s="99">
        <v>0</v>
      </c>
      <c r="R52" s="99">
        <v>0</v>
      </c>
      <c r="S52">
        <f t="shared" si="1"/>
        <v>1</v>
      </c>
    </row>
    <row r="53" spans="1:19">
      <c r="A53" s="101" t="s">
        <v>867</v>
      </c>
      <c r="B53" s="101" t="s">
        <v>938</v>
      </c>
      <c r="C53" s="67">
        <v>0</v>
      </c>
      <c r="D53" s="71">
        <v>1</v>
      </c>
      <c r="E53" s="99">
        <v>0</v>
      </c>
      <c r="F53" s="99">
        <v>0</v>
      </c>
      <c r="G53" s="99">
        <v>0</v>
      </c>
      <c r="H53" s="99">
        <v>0</v>
      </c>
      <c r="I53" s="99">
        <v>0</v>
      </c>
      <c r="J53" s="99">
        <v>0</v>
      </c>
      <c r="K53" s="99">
        <v>0</v>
      </c>
      <c r="L53" s="99">
        <v>0</v>
      </c>
      <c r="M53" s="99">
        <v>0</v>
      </c>
      <c r="N53" s="99">
        <v>0</v>
      </c>
      <c r="O53" s="99">
        <v>0</v>
      </c>
      <c r="P53" s="99">
        <v>0</v>
      </c>
      <c r="Q53" s="99">
        <v>0</v>
      </c>
      <c r="R53" s="99">
        <v>0</v>
      </c>
      <c r="S53">
        <f t="shared" si="1"/>
        <v>1</v>
      </c>
    </row>
    <row r="54" spans="1:19">
      <c r="A54" s="101" t="s">
        <v>428</v>
      </c>
      <c r="B54" s="101" t="s">
        <v>939</v>
      </c>
      <c r="C54" s="67">
        <v>0</v>
      </c>
      <c r="D54" s="71">
        <v>1</v>
      </c>
      <c r="E54" s="99">
        <v>0</v>
      </c>
      <c r="F54" s="99">
        <v>0</v>
      </c>
      <c r="G54" s="99">
        <v>0</v>
      </c>
      <c r="H54" s="99">
        <v>0</v>
      </c>
      <c r="I54" s="99">
        <v>0</v>
      </c>
      <c r="J54" s="99">
        <v>0</v>
      </c>
      <c r="K54" s="99">
        <v>0</v>
      </c>
      <c r="L54" s="99">
        <v>0</v>
      </c>
      <c r="M54" s="99">
        <v>0</v>
      </c>
      <c r="N54" s="99">
        <v>0</v>
      </c>
      <c r="O54" s="99">
        <v>0</v>
      </c>
      <c r="P54" s="99">
        <v>0</v>
      </c>
      <c r="Q54" s="99">
        <v>0</v>
      </c>
      <c r="R54" s="99">
        <v>0</v>
      </c>
      <c r="S54">
        <f t="shared" si="1"/>
        <v>1</v>
      </c>
    </row>
    <row r="55" spans="1:19">
      <c r="A55" s="101" t="s">
        <v>868</v>
      </c>
      <c r="B55" s="101" t="s">
        <v>940</v>
      </c>
      <c r="C55" s="67">
        <v>0</v>
      </c>
      <c r="D55" s="71">
        <v>1</v>
      </c>
      <c r="E55" s="99">
        <v>0</v>
      </c>
      <c r="F55" s="99">
        <v>0</v>
      </c>
      <c r="G55" s="99">
        <v>0</v>
      </c>
      <c r="H55" s="99">
        <v>0</v>
      </c>
      <c r="I55" s="99">
        <v>0</v>
      </c>
      <c r="J55" s="99">
        <v>0</v>
      </c>
      <c r="K55" s="99">
        <v>0</v>
      </c>
      <c r="L55" s="99">
        <v>0</v>
      </c>
      <c r="M55" s="99">
        <v>0</v>
      </c>
      <c r="N55" s="99">
        <v>0</v>
      </c>
      <c r="O55" s="99">
        <v>0</v>
      </c>
      <c r="P55" s="99">
        <v>0</v>
      </c>
      <c r="Q55" s="99">
        <v>0</v>
      </c>
      <c r="R55" s="99">
        <v>0</v>
      </c>
      <c r="S55">
        <f t="shared" si="1"/>
        <v>1</v>
      </c>
    </row>
    <row r="56" spans="1:19">
      <c r="A56" s="101" t="s">
        <v>869</v>
      </c>
      <c r="B56" s="101" t="s">
        <v>941</v>
      </c>
      <c r="C56" s="67">
        <v>0</v>
      </c>
      <c r="D56" s="71">
        <v>1</v>
      </c>
      <c r="E56" s="99">
        <v>0</v>
      </c>
      <c r="F56" s="99">
        <v>0</v>
      </c>
      <c r="G56" s="99">
        <v>0</v>
      </c>
      <c r="H56" s="99">
        <v>0</v>
      </c>
      <c r="I56" s="99">
        <v>0</v>
      </c>
      <c r="J56" s="99">
        <v>0</v>
      </c>
      <c r="K56" s="99">
        <v>0</v>
      </c>
      <c r="L56" s="99">
        <v>0</v>
      </c>
      <c r="M56" s="99">
        <v>0</v>
      </c>
      <c r="N56" s="99">
        <v>0</v>
      </c>
      <c r="O56" s="99">
        <v>0</v>
      </c>
      <c r="P56" s="99">
        <v>0</v>
      </c>
      <c r="Q56" s="99">
        <v>0</v>
      </c>
      <c r="R56" s="99">
        <v>0</v>
      </c>
      <c r="S56">
        <f t="shared" si="1"/>
        <v>1</v>
      </c>
    </row>
    <row r="57" spans="1:19">
      <c r="A57" s="101" t="s">
        <v>870</v>
      </c>
      <c r="B57" s="101" t="s">
        <v>942</v>
      </c>
      <c r="C57" s="67">
        <v>0</v>
      </c>
      <c r="D57" s="71">
        <v>1</v>
      </c>
      <c r="E57" s="99">
        <v>0</v>
      </c>
      <c r="F57" s="99">
        <v>0</v>
      </c>
      <c r="G57" s="99">
        <v>0</v>
      </c>
      <c r="H57" s="99">
        <v>0</v>
      </c>
      <c r="I57" s="99">
        <v>0</v>
      </c>
      <c r="J57" s="99">
        <v>0</v>
      </c>
      <c r="K57" s="99">
        <v>0</v>
      </c>
      <c r="L57" s="99">
        <v>0</v>
      </c>
      <c r="M57" s="99">
        <v>0</v>
      </c>
      <c r="N57" s="99">
        <v>0</v>
      </c>
      <c r="O57" s="99">
        <v>0</v>
      </c>
      <c r="P57" s="99">
        <v>0</v>
      </c>
      <c r="Q57" s="99">
        <v>0</v>
      </c>
      <c r="R57" s="99">
        <v>0</v>
      </c>
      <c r="S57">
        <f t="shared" si="1"/>
        <v>1</v>
      </c>
    </row>
    <row r="58" spans="1:19" ht="13" thickBot="1">
      <c r="A58" s="101" t="s">
        <v>871</v>
      </c>
      <c r="B58" s="101" t="s">
        <v>943</v>
      </c>
      <c r="C58" s="76">
        <v>0</v>
      </c>
      <c r="D58" s="104">
        <v>1</v>
      </c>
      <c r="E58" s="99">
        <v>0</v>
      </c>
      <c r="F58" s="99">
        <v>0</v>
      </c>
      <c r="G58" s="99">
        <v>0</v>
      </c>
      <c r="H58" s="99">
        <v>0</v>
      </c>
      <c r="I58" s="99">
        <v>0</v>
      </c>
      <c r="J58" s="99">
        <v>0</v>
      </c>
      <c r="K58" s="99">
        <v>0</v>
      </c>
      <c r="L58" s="99">
        <v>0</v>
      </c>
      <c r="M58" s="99">
        <v>0</v>
      </c>
      <c r="N58" s="99">
        <v>0</v>
      </c>
      <c r="O58" s="99">
        <v>0</v>
      </c>
      <c r="P58" s="99">
        <v>0</v>
      </c>
      <c r="Q58" s="99">
        <v>0</v>
      </c>
      <c r="R58" s="99">
        <v>0</v>
      </c>
      <c r="S58">
        <f t="shared" si="1"/>
        <v>1</v>
      </c>
    </row>
    <row r="59" spans="1:19">
      <c r="A59" s="101" t="s">
        <v>997</v>
      </c>
      <c r="B59" s="101" t="s">
        <v>999</v>
      </c>
      <c r="C59" s="99">
        <v>0</v>
      </c>
      <c r="D59" s="99">
        <v>0</v>
      </c>
      <c r="E59" s="99">
        <v>1</v>
      </c>
      <c r="F59" s="99">
        <v>0</v>
      </c>
      <c r="G59" s="99">
        <v>0</v>
      </c>
      <c r="H59" s="99">
        <v>0</v>
      </c>
      <c r="I59" s="99">
        <v>0</v>
      </c>
      <c r="J59" s="99">
        <v>0</v>
      </c>
      <c r="K59" s="99">
        <v>0</v>
      </c>
      <c r="L59" s="99">
        <v>0</v>
      </c>
      <c r="M59" s="99">
        <v>0</v>
      </c>
      <c r="N59" s="99">
        <v>0</v>
      </c>
      <c r="O59" s="99">
        <v>0</v>
      </c>
      <c r="P59" s="99">
        <v>0</v>
      </c>
      <c r="Q59" s="99">
        <v>0</v>
      </c>
      <c r="R59" s="99">
        <v>0</v>
      </c>
      <c r="S59">
        <f t="shared" si="1"/>
        <v>1</v>
      </c>
    </row>
    <row r="60" spans="1:19">
      <c r="A60" s="101" t="s">
        <v>873</v>
      </c>
      <c r="B60" s="101" t="s">
        <v>1000</v>
      </c>
      <c r="C60" s="99">
        <v>0</v>
      </c>
      <c r="D60" s="99">
        <v>0</v>
      </c>
      <c r="E60" s="99">
        <v>1</v>
      </c>
      <c r="F60" s="99">
        <v>0</v>
      </c>
      <c r="G60" s="99">
        <v>0</v>
      </c>
      <c r="H60" s="99">
        <v>0</v>
      </c>
      <c r="I60" s="99">
        <v>0</v>
      </c>
      <c r="J60" s="99">
        <v>0</v>
      </c>
      <c r="K60" s="99">
        <v>0</v>
      </c>
      <c r="L60" s="99">
        <v>0</v>
      </c>
      <c r="M60" s="99">
        <v>0</v>
      </c>
      <c r="N60" s="99">
        <v>0</v>
      </c>
      <c r="O60" s="99">
        <v>0</v>
      </c>
      <c r="P60" s="99">
        <v>0</v>
      </c>
      <c r="Q60" s="99">
        <v>0</v>
      </c>
      <c r="R60" s="99">
        <v>0</v>
      </c>
      <c r="S60">
        <f t="shared" si="1"/>
        <v>1</v>
      </c>
    </row>
    <row r="61" spans="1:19">
      <c r="A61" s="101" t="s">
        <v>874</v>
      </c>
      <c r="B61" s="101" t="s">
        <v>1001</v>
      </c>
      <c r="C61" s="99">
        <v>0</v>
      </c>
      <c r="D61" s="99">
        <v>0</v>
      </c>
      <c r="E61" s="99">
        <v>0</v>
      </c>
      <c r="F61" s="99">
        <v>1</v>
      </c>
      <c r="G61" s="99">
        <v>0</v>
      </c>
      <c r="H61" s="99">
        <v>0</v>
      </c>
      <c r="I61" s="99">
        <v>0</v>
      </c>
      <c r="J61" s="99">
        <v>0</v>
      </c>
      <c r="K61" s="99">
        <v>0</v>
      </c>
      <c r="L61" s="99">
        <v>0</v>
      </c>
      <c r="M61" s="99">
        <v>0</v>
      </c>
      <c r="N61" s="99">
        <v>0</v>
      </c>
      <c r="O61" s="99">
        <v>0</v>
      </c>
      <c r="P61" s="99">
        <v>0</v>
      </c>
      <c r="Q61" s="99">
        <v>0</v>
      </c>
      <c r="R61" s="99">
        <v>0</v>
      </c>
      <c r="S61">
        <f t="shared" si="1"/>
        <v>1</v>
      </c>
    </row>
    <row r="62" spans="1:19">
      <c r="A62" s="101" t="s">
        <v>875</v>
      </c>
      <c r="B62" s="101" t="s">
        <v>1002</v>
      </c>
      <c r="C62" s="99">
        <v>0</v>
      </c>
      <c r="D62" s="99">
        <v>0</v>
      </c>
      <c r="E62" s="99">
        <v>0</v>
      </c>
      <c r="F62" s="99">
        <v>0</v>
      </c>
      <c r="G62" s="99">
        <v>1</v>
      </c>
      <c r="H62" s="99">
        <v>0</v>
      </c>
      <c r="I62" s="99">
        <v>0</v>
      </c>
      <c r="J62" s="99">
        <v>0</v>
      </c>
      <c r="K62" s="99">
        <v>0</v>
      </c>
      <c r="L62" s="99">
        <v>0</v>
      </c>
      <c r="M62" s="99">
        <v>0</v>
      </c>
      <c r="N62" s="99">
        <v>0</v>
      </c>
      <c r="O62" s="99">
        <v>0</v>
      </c>
      <c r="P62" s="99">
        <v>0</v>
      </c>
      <c r="Q62" s="99">
        <v>0</v>
      </c>
      <c r="R62" s="99">
        <v>0</v>
      </c>
      <c r="S62">
        <f t="shared" si="1"/>
        <v>1</v>
      </c>
    </row>
    <row r="63" spans="1:19">
      <c r="A63" s="101" t="s">
        <v>876</v>
      </c>
      <c r="B63" s="101" t="s">
        <v>967</v>
      </c>
      <c r="C63" s="99">
        <v>0</v>
      </c>
      <c r="D63" s="99">
        <v>0</v>
      </c>
      <c r="E63" s="99">
        <v>0</v>
      </c>
      <c r="F63" s="99">
        <v>0</v>
      </c>
      <c r="G63" s="99">
        <v>0</v>
      </c>
      <c r="H63" s="99">
        <v>1</v>
      </c>
      <c r="I63" s="99">
        <v>0</v>
      </c>
      <c r="J63" s="99">
        <v>0</v>
      </c>
      <c r="K63" s="99">
        <v>0</v>
      </c>
      <c r="L63" s="99">
        <v>0</v>
      </c>
      <c r="M63" s="99">
        <v>0</v>
      </c>
      <c r="N63" s="99">
        <v>0</v>
      </c>
      <c r="O63" s="99">
        <v>0</v>
      </c>
      <c r="P63" s="99">
        <v>0</v>
      </c>
      <c r="Q63" s="99">
        <v>0</v>
      </c>
      <c r="R63" s="99">
        <v>0</v>
      </c>
      <c r="S63">
        <f t="shared" si="1"/>
        <v>1</v>
      </c>
    </row>
    <row r="64" spans="1:19">
      <c r="A64" s="101" t="s">
        <v>877</v>
      </c>
      <c r="B64" s="101" t="s">
        <v>179</v>
      </c>
      <c r="C64" s="99">
        <v>0</v>
      </c>
      <c r="D64" s="99">
        <v>0</v>
      </c>
      <c r="E64" s="99">
        <v>0</v>
      </c>
      <c r="F64" s="99">
        <v>0</v>
      </c>
      <c r="G64" s="99">
        <v>0</v>
      </c>
      <c r="H64" s="99">
        <v>0</v>
      </c>
      <c r="I64" s="99">
        <v>1</v>
      </c>
      <c r="J64" s="99">
        <v>0</v>
      </c>
      <c r="K64" s="99">
        <v>0</v>
      </c>
      <c r="L64" s="99">
        <v>0</v>
      </c>
      <c r="M64" s="99">
        <v>0</v>
      </c>
      <c r="N64" s="99">
        <v>0</v>
      </c>
      <c r="O64" s="99">
        <v>0</v>
      </c>
      <c r="P64" s="99">
        <v>0</v>
      </c>
      <c r="Q64" s="99">
        <v>0</v>
      </c>
      <c r="R64" s="99">
        <v>0</v>
      </c>
      <c r="S64">
        <f t="shared" si="1"/>
        <v>1</v>
      </c>
    </row>
    <row r="65" spans="1:19">
      <c r="A65" s="101" t="s">
        <v>878</v>
      </c>
      <c r="B65" s="101" t="s">
        <v>180</v>
      </c>
      <c r="C65" s="99">
        <v>0</v>
      </c>
      <c r="D65" s="99">
        <v>0</v>
      </c>
      <c r="E65" s="99">
        <v>0</v>
      </c>
      <c r="F65" s="99">
        <v>0</v>
      </c>
      <c r="G65" s="99">
        <v>0</v>
      </c>
      <c r="H65" s="99">
        <v>0</v>
      </c>
      <c r="I65" s="99">
        <v>0</v>
      </c>
      <c r="J65" s="99">
        <v>1</v>
      </c>
      <c r="K65" s="99">
        <v>0</v>
      </c>
      <c r="L65" s="99">
        <v>0</v>
      </c>
      <c r="M65" s="99">
        <v>0</v>
      </c>
      <c r="N65" s="99">
        <v>0</v>
      </c>
      <c r="O65" s="99">
        <v>0</v>
      </c>
      <c r="P65" s="99">
        <v>0</v>
      </c>
      <c r="Q65" s="99">
        <v>0</v>
      </c>
      <c r="R65" s="99">
        <v>0</v>
      </c>
      <c r="S65">
        <f t="shared" si="1"/>
        <v>1</v>
      </c>
    </row>
    <row r="66" spans="1:19">
      <c r="A66" s="101" t="s">
        <v>879</v>
      </c>
      <c r="B66" s="101" t="s">
        <v>1003</v>
      </c>
      <c r="C66" s="99">
        <v>0</v>
      </c>
      <c r="D66" s="99">
        <v>0</v>
      </c>
      <c r="E66" s="99">
        <v>0</v>
      </c>
      <c r="F66" s="99">
        <v>0</v>
      </c>
      <c r="G66" s="99">
        <v>0</v>
      </c>
      <c r="H66" s="99">
        <v>0</v>
      </c>
      <c r="I66" s="99">
        <v>0</v>
      </c>
      <c r="J66" s="99">
        <v>0</v>
      </c>
      <c r="K66" s="99">
        <v>0</v>
      </c>
      <c r="L66" s="99">
        <v>1</v>
      </c>
      <c r="M66" s="99">
        <v>0</v>
      </c>
      <c r="N66" s="99">
        <v>0</v>
      </c>
      <c r="O66" s="99">
        <v>0</v>
      </c>
      <c r="P66" s="99">
        <v>0</v>
      </c>
      <c r="Q66" s="99">
        <v>0</v>
      </c>
      <c r="R66" s="99">
        <v>0</v>
      </c>
      <c r="S66">
        <f t="shared" ref="S66:S75" si="2">SUM(C66:R66)</f>
        <v>1</v>
      </c>
    </row>
    <row r="67" spans="1:19">
      <c r="A67" s="101" t="s">
        <v>880</v>
      </c>
      <c r="B67" s="101" t="s">
        <v>1004</v>
      </c>
      <c r="C67" s="99">
        <v>0</v>
      </c>
      <c r="D67" s="99">
        <v>0</v>
      </c>
      <c r="E67" s="99">
        <v>0</v>
      </c>
      <c r="F67" s="99">
        <v>0</v>
      </c>
      <c r="G67" s="99">
        <v>0</v>
      </c>
      <c r="H67" s="99">
        <v>0</v>
      </c>
      <c r="I67" s="99">
        <v>0</v>
      </c>
      <c r="J67" s="99">
        <v>0</v>
      </c>
      <c r="K67" s="99">
        <v>0</v>
      </c>
      <c r="L67" s="99">
        <v>0</v>
      </c>
      <c r="M67" s="99">
        <v>1</v>
      </c>
      <c r="N67" s="99">
        <v>0</v>
      </c>
      <c r="O67" s="99">
        <v>0</v>
      </c>
      <c r="P67" s="99">
        <v>0</v>
      </c>
      <c r="Q67" s="99">
        <v>0</v>
      </c>
      <c r="R67" s="99">
        <v>0</v>
      </c>
      <c r="S67">
        <f t="shared" si="2"/>
        <v>1</v>
      </c>
    </row>
    <row r="68" spans="1:19">
      <c r="A68" s="101" t="s">
        <v>881</v>
      </c>
      <c r="B68" s="101" t="s">
        <v>669</v>
      </c>
      <c r="C68" s="99">
        <v>0</v>
      </c>
      <c r="D68" s="99">
        <v>0</v>
      </c>
      <c r="E68" s="99">
        <v>0</v>
      </c>
      <c r="F68" s="99">
        <v>0</v>
      </c>
      <c r="G68" s="99">
        <v>0</v>
      </c>
      <c r="H68" s="99">
        <v>0</v>
      </c>
      <c r="I68" s="99">
        <v>0</v>
      </c>
      <c r="J68" s="99">
        <v>0</v>
      </c>
      <c r="K68" s="99">
        <v>0</v>
      </c>
      <c r="L68" s="99">
        <v>0</v>
      </c>
      <c r="M68" s="99">
        <v>0</v>
      </c>
      <c r="N68" s="99">
        <v>1</v>
      </c>
      <c r="O68" s="99">
        <v>0</v>
      </c>
      <c r="P68" s="99">
        <v>0</v>
      </c>
      <c r="Q68" s="99">
        <v>0</v>
      </c>
      <c r="R68" s="99">
        <v>0</v>
      </c>
      <c r="S68">
        <f t="shared" si="2"/>
        <v>1</v>
      </c>
    </row>
    <row r="69" spans="1:19">
      <c r="A69" s="101" t="s">
        <v>882</v>
      </c>
      <c r="B69" s="101" t="s">
        <v>1005</v>
      </c>
      <c r="C69" s="99">
        <v>0</v>
      </c>
      <c r="D69" s="99">
        <v>0</v>
      </c>
      <c r="E69" s="99">
        <v>0</v>
      </c>
      <c r="F69" s="99">
        <v>0</v>
      </c>
      <c r="G69" s="99">
        <v>0</v>
      </c>
      <c r="H69" s="99">
        <v>0</v>
      </c>
      <c r="I69" s="99">
        <v>0</v>
      </c>
      <c r="J69" s="99">
        <v>0</v>
      </c>
      <c r="K69" s="99">
        <v>0</v>
      </c>
      <c r="L69" s="99">
        <v>0</v>
      </c>
      <c r="M69" s="99">
        <v>0</v>
      </c>
      <c r="N69" s="99">
        <v>0</v>
      </c>
      <c r="O69" s="99">
        <v>0</v>
      </c>
      <c r="P69" s="99">
        <v>1</v>
      </c>
      <c r="Q69" s="99">
        <v>0</v>
      </c>
      <c r="R69" s="99">
        <v>0</v>
      </c>
      <c r="S69">
        <f t="shared" si="2"/>
        <v>1</v>
      </c>
    </row>
    <row r="70" spans="1:19">
      <c r="A70" s="101" t="s">
        <v>883</v>
      </c>
      <c r="B70" s="101" t="s">
        <v>1006</v>
      </c>
      <c r="C70" s="99">
        <v>0</v>
      </c>
      <c r="D70" s="99">
        <v>0</v>
      </c>
      <c r="E70" s="99">
        <v>0</v>
      </c>
      <c r="F70" s="99">
        <v>0</v>
      </c>
      <c r="G70" s="99">
        <v>0</v>
      </c>
      <c r="H70" s="99">
        <v>0</v>
      </c>
      <c r="I70" s="99">
        <v>0</v>
      </c>
      <c r="J70" s="99">
        <v>0</v>
      </c>
      <c r="K70" s="99">
        <v>0</v>
      </c>
      <c r="L70" s="99">
        <v>0</v>
      </c>
      <c r="M70" s="99">
        <v>0</v>
      </c>
      <c r="N70" s="99">
        <v>0</v>
      </c>
      <c r="O70" s="99">
        <v>0</v>
      </c>
      <c r="P70" s="99">
        <v>0</v>
      </c>
      <c r="Q70" s="99">
        <v>1</v>
      </c>
      <c r="R70" s="99">
        <v>0</v>
      </c>
      <c r="S70">
        <f t="shared" si="2"/>
        <v>1</v>
      </c>
    </row>
    <row r="71" spans="1:19">
      <c r="A71" s="101" t="s">
        <v>884</v>
      </c>
      <c r="B71" s="101" t="s">
        <v>1008</v>
      </c>
      <c r="C71" s="99">
        <v>0</v>
      </c>
      <c r="D71" s="99">
        <v>0</v>
      </c>
      <c r="E71" s="99">
        <v>0</v>
      </c>
      <c r="F71" s="99">
        <v>0</v>
      </c>
      <c r="G71" s="99">
        <v>0</v>
      </c>
      <c r="H71" s="99">
        <v>0</v>
      </c>
      <c r="I71" s="99">
        <v>0</v>
      </c>
      <c r="J71" s="99">
        <v>0</v>
      </c>
      <c r="K71" s="99">
        <v>0</v>
      </c>
      <c r="L71" s="99">
        <v>0</v>
      </c>
      <c r="M71" s="99">
        <v>0</v>
      </c>
      <c r="N71" s="99">
        <v>0</v>
      </c>
      <c r="O71" s="99">
        <v>1</v>
      </c>
      <c r="P71" s="99">
        <v>0</v>
      </c>
      <c r="Q71" s="99">
        <v>0</v>
      </c>
      <c r="R71" s="99">
        <v>0</v>
      </c>
      <c r="S71">
        <f t="shared" si="2"/>
        <v>1</v>
      </c>
    </row>
    <row r="72" spans="1:19">
      <c r="A72" s="101" t="s">
        <v>994</v>
      </c>
      <c r="B72" s="101" t="s">
        <v>1007</v>
      </c>
      <c r="C72" s="99">
        <v>0</v>
      </c>
      <c r="D72" s="99">
        <v>0</v>
      </c>
      <c r="E72" s="99">
        <v>0</v>
      </c>
      <c r="F72" s="99">
        <v>0</v>
      </c>
      <c r="G72" s="99">
        <v>0</v>
      </c>
      <c r="H72" s="99">
        <v>0</v>
      </c>
      <c r="I72" s="99">
        <v>0</v>
      </c>
      <c r="J72" s="99">
        <v>0</v>
      </c>
      <c r="K72" s="99">
        <v>0</v>
      </c>
      <c r="L72" s="99">
        <v>0</v>
      </c>
      <c r="M72" s="99">
        <v>0</v>
      </c>
      <c r="N72" s="99">
        <v>0</v>
      </c>
      <c r="O72" s="99">
        <v>0</v>
      </c>
      <c r="P72" s="99">
        <v>0</v>
      </c>
      <c r="Q72" s="99">
        <v>0</v>
      </c>
      <c r="R72" s="99">
        <v>1</v>
      </c>
      <c r="S72">
        <f t="shared" si="2"/>
        <v>1</v>
      </c>
    </row>
    <row r="73" spans="1:19">
      <c r="A73" s="101" t="s">
        <v>885</v>
      </c>
      <c r="B73" s="101" t="s">
        <v>1011</v>
      </c>
      <c r="C73" s="99">
        <v>0</v>
      </c>
      <c r="D73" s="99">
        <v>0</v>
      </c>
      <c r="E73" s="99">
        <v>0</v>
      </c>
      <c r="F73" s="99">
        <v>0</v>
      </c>
      <c r="G73" s="99">
        <v>0</v>
      </c>
      <c r="H73" s="99">
        <v>0</v>
      </c>
      <c r="I73" s="99">
        <v>0</v>
      </c>
      <c r="J73" s="99">
        <v>0</v>
      </c>
      <c r="K73" s="99">
        <v>0</v>
      </c>
      <c r="L73" s="99">
        <v>0</v>
      </c>
      <c r="M73" s="99">
        <v>0</v>
      </c>
      <c r="N73" s="99">
        <v>0</v>
      </c>
      <c r="O73" s="99">
        <v>0</v>
      </c>
      <c r="P73" s="99">
        <v>0</v>
      </c>
      <c r="Q73" s="99">
        <v>0</v>
      </c>
      <c r="R73" s="99">
        <v>1</v>
      </c>
      <c r="S73">
        <f t="shared" si="2"/>
        <v>1</v>
      </c>
    </row>
    <row r="74" spans="1:19">
      <c r="A74" s="101" t="s">
        <v>995</v>
      </c>
      <c r="B74" s="101" t="s">
        <v>1009</v>
      </c>
      <c r="C74" s="99">
        <v>0</v>
      </c>
      <c r="D74" s="99">
        <v>0</v>
      </c>
      <c r="E74" s="99">
        <v>0</v>
      </c>
      <c r="F74" s="99">
        <v>0</v>
      </c>
      <c r="G74" s="99">
        <v>0</v>
      </c>
      <c r="H74" s="99">
        <v>0</v>
      </c>
      <c r="I74" s="99">
        <v>0</v>
      </c>
      <c r="J74" s="99">
        <v>0</v>
      </c>
      <c r="K74" s="99">
        <v>1</v>
      </c>
      <c r="L74" s="99">
        <v>0</v>
      </c>
      <c r="M74" s="99">
        <v>0</v>
      </c>
      <c r="N74" s="99">
        <v>0</v>
      </c>
      <c r="O74" s="99">
        <v>0</v>
      </c>
      <c r="P74" s="99">
        <v>0</v>
      </c>
      <c r="Q74" s="99">
        <v>0</v>
      </c>
      <c r="R74" s="99">
        <v>0</v>
      </c>
      <c r="S74">
        <f t="shared" si="2"/>
        <v>1</v>
      </c>
    </row>
    <row r="75" spans="1:19">
      <c r="A75" s="101" t="s">
        <v>996</v>
      </c>
      <c r="B75" s="101" t="s">
        <v>1010</v>
      </c>
      <c r="C75" s="99">
        <v>0</v>
      </c>
      <c r="D75" s="99">
        <v>0</v>
      </c>
      <c r="E75" s="99">
        <v>0</v>
      </c>
      <c r="F75" s="99">
        <v>0</v>
      </c>
      <c r="G75" s="99">
        <v>1</v>
      </c>
      <c r="H75" s="99">
        <v>0</v>
      </c>
      <c r="I75" s="99">
        <v>0</v>
      </c>
      <c r="J75" s="99">
        <v>0</v>
      </c>
      <c r="K75" s="99">
        <v>0</v>
      </c>
      <c r="L75" s="99">
        <v>0</v>
      </c>
      <c r="M75" s="99">
        <v>0</v>
      </c>
      <c r="N75" s="99">
        <v>0</v>
      </c>
      <c r="O75" s="99">
        <v>0</v>
      </c>
      <c r="P75" s="99">
        <v>0</v>
      </c>
      <c r="Q75" s="99">
        <v>0</v>
      </c>
      <c r="R75" s="99">
        <v>0</v>
      </c>
      <c r="S75">
        <f t="shared" si="2"/>
        <v>1</v>
      </c>
    </row>
    <row r="76" spans="1:19">
      <c r="C76">
        <f t="shared" ref="C76:R76" si="3">SUM(C2:C75)</f>
        <v>14</v>
      </c>
      <c r="D76">
        <f t="shared" si="3"/>
        <v>43</v>
      </c>
      <c r="E76">
        <f t="shared" si="3"/>
        <v>2</v>
      </c>
      <c r="F76">
        <f t="shared" si="3"/>
        <v>1</v>
      </c>
      <c r="G76">
        <f t="shared" si="3"/>
        <v>2</v>
      </c>
      <c r="H76">
        <f t="shared" si="3"/>
        <v>1</v>
      </c>
      <c r="I76">
        <f t="shared" si="3"/>
        <v>1</v>
      </c>
      <c r="J76">
        <f t="shared" si="3"/>
        <v>1</v>
      </c>
      <c r="K76">
        <f t="shared" si="3"/>
        <v>1</v>
      </c>
      <c r="L76">
        <f t="shared" si="3"/>
        <v>1</v>
      </c>
      <c r="M76">
        <f t="shared" si="3"/>
        <v>1</v>
      </c>
      <c r="N76">
        <f t="shared" si="3"/>
        <v>1</v>
      </c>
      <c r="O76">
        <f t="shared" si="3"/>
        <v>1</v>
      </c>
      <c r="P76">
        <f t="shared" si="3"/>
        <v>1</v>
      </c>
      <c r="Q76">
        <f t="shared" si="3"/>
        <v>1</v>
      </c>
      <c r="R76">
        <f t="shared" si="3"/>
        <v>2</v>
      </c>
    </row>
  </sheetData>
  <phoneticPr fontId="0" type="noConversion"/>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enableFormatConditionsCalculation="0"/>
  <dimension ref="A1:BX75"/>
  <sheetViews>
    <sheetView zoomScale="75" workbookViewId="0">
      <pane xSplit="1" ySplit="1" topLeftCell="B2" activePane="bottomRight" state="frozen"/>
      <selection pane="topRight" activeCell="B1" sqref="B1"/>
      <selection pane="bottomLeft" activeCell="A2" sqref="A2"/>
      <selection pane="bottomRight" activeCell="A25" sqref="A25"/>
    </sheetView>
  </sheetViews>
  <sheetFormatPr baseColWidth="10" defaultColWidth="8.83203125" defaultRowHeight="12" x14ac:dyDescent="0"/>
  <cols>
    <col min="2" max="76" width="10.6640625" customWidth="1"/>
  </cols>
  <sheetData>
    <row r="1" spans="1:76">
      <c r="A1" s="101"/>
      <c r="B1" s="102" t="s">
        <v>818</v>
      </c>
      <c r="C1" s="102" t="s">
        <v>819</v>
      </c>
      <c r="D1" s="102" t="s">
        <v>820</v>
      </c>
      <c r="E1" s="102" t="s">
        <v>821</v>
      </c>
      <c r="F1" s="102" t="s">
        <v>822</v>
      </c>
      <c r="G1" s="102" t="s">
        <v>823</v>
      </c>
      <c r="H1" s="102" t="s">
        <v>824</v>
      </c>
      <c r="I1" s="102" t="s">
        <v>825</v>
      </c>
      <c r="J1" s="102" t="s">
        <v>826</v>
      </c>
      <c r="K1" s="102" t="s">
        <v>827</v>
      </c>
      <c r="L1" s="102" t="s">
        <v>828</v>
      </c>
      <c r="M1" s="102" t="s">
        <v>829</v>
      </c>
      <c r="N1" s="102" t="s">
        <v>830</v>
      </c>
      <c r="O1" s="102" t="s">
        <v>831</v>
      </c>
      <c r="P1" s="102" t="s">
        <v>23</v>
      </c>
      <c r="Q1" s="102" t="s">
        <v>832</v>
      </c>
      <c r="R1" s="102" t="s">
        <v>833</v>
      </c>
      <c r="S1" s="102" t="s">
        <v>436</v>
      </c>
      <c r="T1" s="102" t="s">
        <v>834</v>
      </c>
      <c r="U1" s="102" t="s">
        <v>835</v>
      </c>
      <c r="V1" s="102" t="s">
        <v>836</v>
      </c>
      <c r="W1" s="102" t="s">
        <v>837</v>
      </c>
      <c r="X1" s="102" t="s">
        <v>838</v>
      </c>
      <c r="Y1" s="102" t="s">
        <v>839</v>
      </c>
      <c r="Z1" s="102" t="s">
        <v>840</v>
      </c>
      <c r="AA1" s="102" t="s">
        <v>841</v>
      </c>
      <c r="AB1" s="102" t="s">
        <v>842</v>
      </c>
      <c r="AC1" s="102" t="s">
        <v>843</v>
      </c>
      <c r="AD1" s="102" t="s">
        <v>844</v>
      </c>
      <c r="AE1" s="102" t="s">
        <v>845</v>
      </c>
      <c r="AF1" s="102" t="s">
        <v>846</v>
      </c>
      <c r="AG1" s="102" t="s">
        <v>847</v>
      </c>
      <c r="AH1" s="102" t="s">
        <v>848</v>
      </c>
      <c r="AI1" s="102" t="s">
        <v>849</v>
      </c>
      <c r="AJ1" s="102" t="s">
        <v>850</v>
      </c>
      <c r="AK1" s="102" t="s">
        <v>851</v>
      </c>
      <c r="AL1" s="102" t="s">
        <v>852</v>
      </c>
      <c r="AM1" s="102" t="s">
        <v>853</v>
      </c>
      <c r="AN1" s="102" t="s">
        <v>854</v>
      </c>
      <c r="AO1" s="102" t="s">
        <v>855</v>
      </c>
      <c r="AP1" s="102" t="s">
        <v>856</v>
      </c>
      <c r="AQ1" s="102" t="s">
        <v>857</v>
      </c>
      <c r="AR1" s="102" t="s">
        <v>858</v>
      </c>
      <c r="AS1" s="102" t="s">
        <v>859</v>
      </c>
      <c r="AT1" s="102" t="s">
        <v>860</v>
      </c>
      <c r="AU1" s="102" t="s">
        <v>861</v>
      </c>
      <c r="AV1" s="102" t="s">
        <v>862</v>
      </c>
      <c r="AW1" s="102" t="s">
        <v>863</v>
      </c>
      <c r="AX1" s="102" t="s">
        <v>864</v>
      </c>
      <c r="AY1" s="102" t="s">
        <v>865</v>
      </c>
      <c r="AZ1" s="102" t="s">
        <v>866</v>
      </c>
      <c r="BA1" s="102" t="s">
        <v>867</v>
      </c>
      <c r="BB1" s="102" t="s">
        <v>428</v>
      </c>
      <c r="BC1" s="102" t="s">
        <v>868</v>
      </c>
      <c r="BD1" s="102" t="s">
        <v>869</v>
      </c>
      <c r="BE1" s="102" t="s">
        <v>870</v>
      </c>
      <c r="BF1" s="102" t="s">
        <v>871</v>
      </c>
      <c r="BG1" s="102" t="s">
        <v>872</v>
      </c>
      <c r="BH1" s="102" t="s">
        <v>873</v>
      </c>
      <c r="BI1" s="102" t="s">
        <v>874</v>
      </c>
      <c r="BJ1" s="102" t="s">
        <v>875</v>
      </c>
      <c r="BK1" s="102" t="s">
        <v>876</v>
      </c>
      <c r="BL1" s="102" t="s">
        <v>877</v>
      </c>
      <c r="BM1" s="102" t="s">
        <v>878</v>
      </c>
      <c r="BN1" s="102" t="s">
        <v>879</v>
      </c>
      <c r="BO1" s="102" t="s">
        <v>880</v>
      </c>
      <c r="BP1" s="102" t="s">
        <v>881</v>
      </c>
      <c r="BQ1" s="102" t="s">
        <v>882</v>
      </c>
      <c r="BR1" s="102" t="s">
        <v>883</v>
      </c>
      <c r="BS1" s="102" t="s">
        <v>884</v>
      </c>
      <c r="BT1" s="102" t="s">
        <v>994</v>
      </c>
      <c r="BU1" s="102" t="s">
        <v>885</v>
      </c>
      <c r="BV1" s="102" t="s">
        <v>995</v>
      </c>
      <c r="BW1" s="102" t="s">
        <v>996</v>
      </c>
      <c r="BX1" s="102"/>
    </row>
    <row r="2" spans="1:76">
      <c r="A2" s="101" t="s">
        <v>818</v>
      </c>
      <c r="B2" s="98">
        <v>160.78807869400001</v>
      </c>
      <c r="C2" s="98">
        <v>1.3199999999999999E-7</v>
      </c>
      <c r="D2" s="98">
        <v>9.3224000000000001E-5</v>
      </c>
      <c r="E2" s="98">
        <v>9.0428564999999992</v>
      </c>
      <c r="F2" s="98">
        <v>0.454466443</v>
      </c>
      <c r="G2" s="98">
        <v>7.1944100000000003E-4</v>
      </c>
      <c r="H2" s="98">
        <v>7.9916600000000003E-4</v>
      </c>
      <c r="I2" s="98">
        <v>7.8538746499999998</v>
      </c>
      <c r="J2" s="98">
        <v>4.9565413090000003</v>
      </c>
      <c r="K2" s="98">
        <v>74.539892710000004</v>
      </c>
      <c r="L2" s="98">
        <v>2.083189086</v>
      </c>
      <c r="M2" s="98">
        <v>4.2850307999999997E-2</v>
      </c>
      <c r="N2" s="98">
        <v>1.74752E-4</v>
      </c>
      <c r="O2" s="98">
        <v>1.2956799999999999E-4</v>
      </c>
      <c r="P2" s="98">
        <v>6.0278000000000001E-5</v>
      </c>
      <c r="Q2" s="98">
        <v>8.0000000000000005E-9</v>
      </c>
      <c r="R2" s="98">
        <v>4.1637199999999998E-4</v>
      </c>
      <c r="S2" s="98">
        <v>1.0340099999999999E-4</v>
      </c>
      <c r="T2" s="98">
        <v>4.9727199999999999E-4</v>
      </c>
      <c r="U2" s="98">
        <v>9.1629999999999999E-4</v>
      </c>
      <c r="V2" s="98">
        <v>7.3040370000000002E-3</v>
      </c>
      <c r="W2" s="98">
        <v>2.49025E-4</v>
      </c>
      <c r="X2" s="98">
        <v>3000.7910062870001</v>
      </c>
      <c r="Y2" s="98">
        <v>7.0269069999999998E-3</v>
      </c>
      <c r="Z2" s="98">
        <v>0.18031493200000001</v>
      </c>
      <c r="AA2" s="98">
        <v>1.2746613E-2</v>
      </c>
      <c r="AB2" s="98">
        <v>8.1501999999999998E-3</v>
      </c>
      <c r="AC2" s="98">
        <v>1.074995E-3</v>
      </c>
      <c r="AD2" s="98">
        <v>7.1947799999999996E-4</v>
      </c>
      <c r="AE2" s="98">
        <v>2.820206E-3</v>
      </c>
      <c r="AF2" s="98">
        <v>8.0108480120000003</v>
      </c>
      <c r="AG2" s="98">
        <v>4.7578400000000002E-3</v>
      </c>
      <c r="AH2" s="98">
        <v>1.1610419999999999E-3</v>
      </c>
      <c r="AI2" s="98">
        <v>1.5889540000000001E-3</v>
      </c>
      <c r="AJ2" s="98">
        <v>6.1523E-5</v>
      </c>
      <c r="AK2" s="98">
        <v>2.4411000000000001E-5</v>
      </c>
      <c r="AL2" s="98">
        <v>1.1619309999999999E-3</v>
      </c>
      <c r="AM2" s="98">
        <v>4.7269999999999998E-6</v>
      </c>
      <c r="AN2" s="98">
        <v>5.7370999999999997E-5</v>
      </c>
      <c r="AO2" s="98">
        <v>3.5662239999999998E-3</v>
      </c>
      <c r="AP2" s="98">
        <v>3.0213000000000001E-4</v>
      </c>
      <c r="AQ2" s="98">
        <v>11.389436837</v>
      </c>
      <c r="AR2" s="98">
        <v>1.7453449999999999E-3</v>
      </c>
      <c r="AS2" s="98">
        <v>2.48323E-4</v>
      </c>
      <c r="AT2" s="98">
        <v>3.7202300000000003E-4</v>
      </c>
      <c r="AU2" s="98">
        <v>3.4396000000000001E-5</v>
      </c>
      <c r="AV2" s="98">
        <v>4.1558089999999999E-3</v>
      </c>
      <c r="AW2" s="98">
        <v>2.7796700000000001E-3</v>
      </c>
      <c r="AX2" s="98">
        <v>1.7116700000000001E-4</v>
      </c>
      <c r="AY2" s="98">
        <v>1.3E-6</v>
      </c>
      <c r="AZ2" s="98">
        <v>6.3496400000000001E-4</v>
      </c>
      <c r="BA2" s="98">
        <v>6.3543820000000004E-3</v>
      </c>
      <c r="BB2" s="98">
        <v>1.013056E-3</v>
      </c>
      <c r="BC2" s="98">
        <v>8.0865440960000008</v>
      </c>
      <c r="BD2" s="98">
        <v>7.7568043009999998</v>
      </c>
      <c r="BE2" s="98">
        <v>2.3850003879999999</v>
      </c>
      <c r="BF2" s="98">
        <v>0.28041934200000002</v>
      </c>
      <c r="BG2" s="98">
        <v>0</v>
      </c>
      <c r="BH2" s="98">
        <v>0</v>
      </c>
      <c r="BI2" s="98">
        <v>0</v>
      </c>
      <c r="BJ2" s="98">
        <v>0</v>
      </c>
      <c r="BK2" s="98">
        <v>1.638984051</v>
      </c>
      <c r="BL2" s="98">
        <v>2.1039999999999998E-5</v>
      </c>
      <c r="BM2" s="98">
        <v>6.8425999999999998E-5</v>
      </c>
      <c r="BN2" s="98">
        <v>0</v>
      </c>
      <c r="BO2" s="98">
        <v>0</v>
      </c>
      <c r="BP2" s="98">
        <v>0</v>
      </c>
      <c r="BQ2" s="98">
        <v>0</v>
      </c>
      <c r="BR2" s="98">
        <v>0</v>
      </c>
      <c r="BS2" s="98">
        <v>0</v>
      </c>
      <c r="BT2" s="98">
        <v>78.548158447999995</v>
      </c>
      <c r="BU2" s="98">
        <v>0</v>
      </c>
      <c r="BV2" s="99">
        <v>0</v>
      </c>
      <c r="BW2" s="82">
        <v>0</v>
      </c>
      <c r="BX2" s="100"/>
    </row>
    <row r="3" spans="1:76">
      <c r="A3" s="101" t="s">
        <v>819</v>
      </c>
      <c r="B3" s="98">
        <v>3.488437E-3</v>
      </c>
      <c r="C3" s="98">
        <v>2.3265680000000002E-3</v>
      </c>
      <c r="D3" s="98">
        <v>2.6203700000000001E-4</v>
      </c>
      <c r="E3" s="98">
        <v>9.2545519999999992E-3</v>
      </c>
      <c r="F3" s="98">
        <v>1.2380399999999999E-3</v>
      </c>
      <c r="G3" s="98">
        <v>3.040652E-3</v>
      </c>
      <c r="H3" s="98">
        <v>9.5790199999999995E-4</v>
      </c>
      <c r="I3" s="98">
        <v>2.6019948000000001E-2</v>
      </c>
      <c r="J3" s="98">
        <v>6.1657069000000002E-2</v>
      </c>
      <c r="K3" s="98">
        <v>0.712029778</v>
      </c>
      <c r="L3" s="98">
        <v>5.7989616000000001E-2</v>
      </c>
      <c r="M3" s="98">
        <v>1.6152460000000001E-3</v>
      </c>
      <c r="N3" s="98">
        <v>1.9281100000000001E-4</v>
      </c>
      <c r="O3" s="98">
        <v>5.5639870000000003E-3</v>
      </c>
      <c r="P3" s="98">
        <v>6.8449999999999997E-5</v>
      </c>
      <c r="Q3" s="98">
        <v>1.0999999999999999E-8</v>
      </c>
      <c r="R3" s="98">
        <v>4.2030099999999999E-4</v>
      </c>
      <c r="S3" s="98">
        <v>1.2371600000000001E-4</v>
      </c>
      <c r="T3" s="98">
        <v>4.2267650000000004E-3</v>
      </c>
      <c r="U3" s="98">
        <v>3.1979014E-2</v>
      </c>
      <c r="V3" s="98">
        <v>1.1717293E-2</v>
      </c>
      <c r="W3" s="98">
        <v>1.4218008000000001E-2</v>
      </c>
      <c r="X3" s="98">
        <v>2.1946338999999999E-2</v>
      </c>
      <c r="Y3" s="98">
        <v>1.2838372000000001E-2</v>
      </c>
      <c r="Z3" s="98">
        <v>166.89196581900001</v>
      </c>
      <c r="AA3" s="98">
        <v>2.0162475940000002</v>
      </c>
      <c r="AB3" s="98">
        <v>9.2181569999999994E-3</v>
      </c>
      <c r="AC3" s="98">
        <v>1.267443E-3</v>
      </c>
      <c r="AD3" s="98">
        <v>9.3073799999999996E-4</v>
      </c>
      <c r="AE3" s="98">
        <v>2.5546689999999999E-3</v>
      </c>
      <c r="AF3" s="98">
        <v>6.3276200000000004E-4</v>
      </c>
      <c r="AG3" s="98">
        <v>4.6873319999999998E-3</v>
      </c>
      <c r="AH3" s="98">
        <v>4.3121849999999996E-3</v>
      </c>
      <c r="AI3" s="98">
        <v>9.1666999999999996E-4</v>
      </c>
      <c r="AJ3" s="98">
        <v>9.2485000000000006E-5</v>
      </c>
      <c r="AK3" s="98">
        <v>3.1412999999999999E-5</v>
      </c>
      <c r="AL3" s="98">
        <v>1.1362220000000001E-3</v>
      </c>
      <c r="AM3" s="98">
        <v>4.5231000000000001E-5</v>
      </c>
      <c r="AN3" s="98">
        <v>7.6444000000000002E-5</v>
      </c>
      <c r="AO3" s="98">
        <v>3.8529800000000002E-3</v>
      </c>
      <c r="AP3" s="98">
        <v>1.9115079999999999E-3</v>
      </c>
      <c r="AQ3" s="98">
        <v>0.139863602</v>
      </c>
      <c r="AR3" s="98">
        <v>1.7429380000000001E-3</v>
      </c>
      <c r="AS3" s="98">
        <v>2.6020699999999998E-4</v>
      </c>
      <c r="AT3" s="98">
        <v>3.9051999999999999E-4</v>
      </c>
      <c r="AU3" s="98">
        <v>5.7462E-5</v>
      </c>
      <c r="AV3" s="98">
        <v>4.9272165E-2</v>
      </c>
      <c r="AW3" s="98">
        <v>2.8360880000000001E-3</v>
      </c>
      <c r="AX3" s="98">
        <v>2.26126E-4</v>
      </c>
      <c r="AY3" s="98">
        <v>2.4521299999999998E-4</v>
      </c>
      <c r="AZ3" s="98">
        <v>6.5435099999999996E-4</v>
      </c>
      <c r="BA3" s="98">
        <v>6.403326E-3</v>
      </c>
      <c r="BB3" s="98">
        <v>1.0627869999999999E-3</v>
      </c>
      <c r="BC3" s="98">
        <v>6.6012810000000005E-2</v>
      </c>
      <c r="BD3" s="98">
        <v>4.8727442000000003E-2</v>
      </c>
      <c r="BE3" s="98">
        <v>2.8205312E-2</v>
      </c>
      <c r="BF3" s="98">
        <v>1.07032E-4</v>
      </c>
      <c r="BG3" s="98">
        <v>0</v>
      </c>
      <c r="BH3" s="98">
        <v>0</v>
      </c>
      <c r="BI3" s="98">
        <v>0</v>
      </c>
      <c r="BJ3" s="98">
        <v>0</v>
      </c>
      <c r="BK3" s="98">
        <v>1.4286149269999999</v>
      </c>
      <c r="BL3" s="98">
        <v>8.1309000000000004E-5</v>
      </c>
      <c r="BM3" s="98">
        <v>1.371892E-3</v>
      </c>
      <c r="BN3" s="98">
        <v>0</v>
      </c>
      <c r="BO3" s="98">
        <v>0</v>
      </c>
      <c r="BP3" s="98">
        <v>0</v>
      </c>
      <c r="BQ3" s="98">
        <v>0</v>
      </c>
      <c r="BR3" s="98">
        <v>0</v>
      </c>
      <c r="BS3" s="98">
        <v>0</v>
      </c>
      <c r="BT3" s="98">
        <v>0.14692757200000001</v>
      </c>
      <c r="BU3" s="98">
        <v>0</v>
      </c>
      <c r="BV3" s="98">
        <v>0</v>
      </c>
      <c r="BW3" s="82">
        <v>0</v>
      </c>
      <c r="BX3" s="100"/>
    </row>
    <row r="4" spans="1:76">
      <c r="A4" s="101" t="s">
        <v>820</v>
      </c>
      <c r="B4" s="98">
        <v>2.9482480000000001E-3</v>
      </c>
      <c r="C4" s="98">
        <v>1.7561999999999999E-5</v>
      </c>
      <c r="D4" s="98">
        <v>18.147881193</v>
      </c>
      <c r="E4" s="98">
        <v>1.2971880999999999E-2</v>
      </c>
      <c r="F4" s="98">
        <v>8.3239100000000003E-4</v>
      </c>
      <c r="G4" s="98">
        <v>2.490772E-3</v>
      </c>
      <c r="H4" s="98">
        <v>9.1660099999999996E-4</v>
      </c>
      <c r="I4" s="98">
        <v>1.4332482000000001E-2</v>
      </c>
      <c r="J4" s="98">
        <v>7.8666886000000005E-2</v>
      </c>
      <c r="K4" s="98">
        <v>0.27671529299999997</v>
      </c>
      <c r="L4" s="98">
        <v>0.109748296</v>
      </c>
      <c r="M4" s="98">
        <v>2.160337E-3</v>
      </c>
      <c r="N4" s="98">
        <v>3.15385E-4</v>
      </c>
      <c r="O4" s="98">
        <v>6.7894979999999997E-3</v>
      </c>
      <c r="P4" s="98">
        <v>6.6851000000000001E-5</v>
      </c>
      <c r="Q4" s="98">
        <v>6E-9</v>
      </c>
      <c r="R4" s="98">
        <v>4.0865500000000001E-4</v>
      </c>
      <c r="S4" s="98">
        <v>1.21041E-4</v>
      </c>
      <c r="T4" s="98">
        <v>0.193720319</v>
      </c>
      <c r="U4" s="98">
        <v>1.303637946</v>
      </c>
      <c r="V4" s="98">
        <v>8.7890780000000005E-3</v>
      </c>
      <c r="W4" s="98">
        <v>0.106168692</v>
      </c>
      <c r="X4" s="98">
        <v>1.2217673E-2</v>
      </c>
      <c r="Y4" s="98">
        <v>8.5391849999999995E-3</v>
      </c>
      <c r="Z4" s="98">
        <v>254.48283409999999</v>
      </c>
      <c r="AA4" s="98">
        <v>5.7207949720000002</v>
      </c>
      <c r="AB4" s="98">
        <v>5.1649820000000003E-3</v>
      </c>
      <c r="AC4" s="98">
        <v>6.9614299999999998E-4</v>
      </c>
      <c r="AD4" s="98">
        <v>7.6222599999999996E-4</v>
      </c>
      <c r="AE4" s="98">
        <v>2.45802E-3</v>
      </c>
      <c r="AF4" s="98">
        <v>6.1021000000000003E-4</v>
      </c>
      <c r="AG4" s="98">
        <v>4.5521540000000001E-3</v>
      </c>
      <c r="AH4" s="98">
        <v>4.4702869999999999E-3</v>
      </c>
      <c r="AI4" s="98">
        <v>8.85548E-4</v>
      </c>
      <c r="AJ4" s="98">
        <v>9.0059E-5</v>
      </c>
      <c r="AK4" s="98">
        <v>3.0639999999999998E-5</v>
      </c>
      <c r="AL4" s="98">
        <v>1.091847E-3</v>
      </c>
      <c r="AM4" s="98">
        <v>4.2333999999999998E-5</v>
      </c>
      <c r="AN4" s="98">
        <v>7.4851000000000006E-5</v>
      </c>
      <c r="AO4" s="98">
        <v>3.7514610000000002E-3</v>
      </c>
      <c r="AP4" s="98">
        <v>2.146144E-3</v>
      </c>
      <c r="AQ4" s="98">
        <v>0.217073292</v>
      </c>
      <c r="AR4" s="98">
        <v>3.1282250000000001E-3</v>
      </c>
      <c r="AS4" s="98">
        <v>2.4935499999999999E-4</v>
      </c>
      <c r="AT4" s="98">
        <v>3.7979799999999998E-4</v>
      </c>
      <c r="AU4" s="98">
        <v>5.4075E-5</v>
      </c>
      <c r="AV4" s="98">
        <v>5.3768919999999998E-2</v>
      </c>
      <c r="AW4" s="98">
        <v>2.7313250000000002E-3</v>
      </c>
      <c r="AX4" s="98">
        <v>2.1794300000000001E-4</v>
      </c>
      <c r="AY4" s="98">
        <v>2.31437E-4</v>
      </c>
      <c r="AZ4" s="98">
        <v>6.3743299999999997E-4</v>
      </c>
      <c r="BA4" s="98">
        <v>6.215529E-3</v>
      </c>
      <c r="BB4" s="98">
        <v>1.035916E-3</v>
      </c>
      <c r="BC4" s="98">
        <v>12.334192194</v>
      </c>
      <c r="BD4" s="98">
        <v>8.5857770999999996</v>
      </c>
      <c r="BE4" s="98">
        <v>4.467848601</v>
      </c>
      <c r="BF4" s="98">
        <v>0.146883508</v>
      </c>
      <c r="BG4" s="98">
        <v>0</v>
      </c>
      <c r="BH4" s="98">
        <v>0</v>
      </c>
      <c r="BI4" s="98">
        <v>0</v>
      </c>
      <c r="BJ4" s="98">
        <v>0</v>
      </c>
      <c r="BK4" s="98">
        <v>15.901138511999999</v>
      </c>
      <c r="BL4" s="98">
        <v>7.0005999999999993E-5</v>
      </c>
      <c r="BM4" s="98">
        <v>1.235297E-3</v>
      </c>
      <c r="BN4" s="98">
        <v>0</v>
      </c>
      <c r="BO4" s="98">
        <v>0</v>
      </c>
      <c r="BP4" s="98">
        <v>0</v>
      </c>
      <c r="BQ4" s="98">
        <v>0</v>
      </c>
      <c r="BR4" s="98">
        <v>0</v>
      </c>
      <c r="BS4" s="98">
        <v>0</v>
      </c>
      <c r="BT4" s="98">
        <v>67.798971022000003</v>
      </c>
      <c r="BU4" s="98">
        <v>0</v>
      </c>
      <c r="BV4" s="98">
        <v>0</v>
      </c>
      <c r="BW4" s="82">
        <v>0</v>
      </c>
      <c r="BX4" s="100"/>
    </row>
    <row r="5" spans="1:76">
      <c r="A5" s="101" t="s">
        <v>821</v>
      </c>
      <c r="B5" s="98">
        <v>1.3678523999999999E-2</v>
      </c>
      <c r="C5" s="98">
        <v>5.2989999999999996E-6</v>
      </c>
      <c r="D5" s="98">
        <v>3.721626E-3</v>
      </c>
      <c r="E5" s="98">
        <v>80.871312523</v>
      </c>
      <c r="F5" s="98">
        <v>6.5846530000000002E-3</v>
      </c>
      <c r="G5" s="98">
        <v>5.8923299999999999E-4</v>
      </c>
      <c r="H5" s="98">
        <v>6.5476800000000002E-4</v>
      </c>
      <c r="I5" s="98">
        <v>0.11087238100000001</v>
      </c>
      <c r="J5" s="98">
        <v>2.5880337E-2</v>
      </c>
      <c r="K5" s="98">
        <v>0.34753713000000003</v>
      </c>
      <c r="L5" s="98">
        <v>1.4482383E-2</v>
      </c>
      <c r="M5" s="98">
        <v>2.34582E-4</v>
      </c>
      <c r="N5" s="98">
        <v>1.9540000000000001E-4</v>
      </c>
      <c r="O5" s="98">
        <v>1.9097350999999999E-2</v>
      </c>
      <c r="P5" s="98">
        <v>5.1968000000000001E-5</v>
      </c>
      <c r="Q5" s="98">
        <v>2.1999999999999998E-8</v>
      </c>
      <c r="R5" s="98">
        <v>3.31622E-4</v>
      </c>
      <c r="S5" s="98">
        <v>9.2818000000000005E-5</v>
      </c>
      <c r="T5" s="98">
        <v>0.40000284000000003</v>
      </c>
      <c r="U5" s="98">
        <v>2.6966148419999998</v>
      </c>
      <c r="V5" s="98">
        <v>9.2342028000000007E-2</v>
      </c>
      <c r="W5" s="98">
        <v>0.206300815</v>
      </c>
      <c r="X5" s="98">
        <v>1.6386868999999998E-2</v>
      </c>
      <c r="Y5" s="98">
        <v>0.19837138600000001</v>
      </c>
      <c r="Z5" s="98">
        <v>358.64457062000002</v>
      </c>
      <c r="AA5" s="98">
        <v>23.431152359999999</v>
      </c>
      <c r="AB5" s="98">
        <v>4.5017360000000001E-3</v>
      </c>
      <c r="AC5" s="98">
        <v>4.3738400000000003E-4</v>
      </c>
      <c r="AD5" s="98">
        <v>1.055386666</v>
      </c>
      <c r="AE5" s="98">
        <v>1.3481447000000001E-2</v>
      </c>
      <c r="AF5" s="98">
        <v>0.71102864300000002</v>
      </c>
      <c r="AG5" s="98">
        <v>3.7163809999999999E-3</v>
      </c>
      <c r="AH5" s="98">
        <v>889.92930950000004</v>
      </c>
      <c r="AI5" s="98">
        <v>1.073166E-3</v>
      </c>
      <c r="AJ5" s="98">
        <v>1.9339300000000001E-4</v>
      </c>
      <c r="AK5" s="98">
        <v>2.3039000000000001E-5</v>
      </c>
      <c r="AL5" s="98">
        <v>2.8161100000000001E-3</v>
      </c>
      <c r="AM5" s="98">
        <v>2.3096E-5</v>
      </c>
      <c r="AN5" s="98">
        <v>5.5098E-5</v>
      </c>
      <c r="AO5" s="98">
        <v>3.0374009999999999E-3</v>
      </c>
      <c r="AP5" s="98">
        <v>5.2162809999999997E-3</v>
      </c>
      <c r="AQ5" s="98">
        <v>8.6448814999999998E-2</v>
      </c>
      <c r="AR5" s="98">
        <v>3.4133309999999999E-3</v>
      </c>
      <c r="AS5" s="98">
        <v>5.1159600000000001E-4</v>
      </c>
      <c r="AT5" s="98">
        <v>1.1327609999999999E-3</v>
      </c>
      <c r="AU5" s="98">
        <v>1.219715221</v>
      </c>
      <c r="AV5" s="98">
        <v>0.140421769</v>
      </c>
      <c r="AW5" s="98">
        <v>0.67424564600000003</v>
      </c>
      <c r="AX5" s="98">
        <v>7.4332269999999997E-3</v>
      </c>
      <c r="AY5" s="98">
        <v>6.0589820000000001E-3</v>
      </c>
      <c r="AZ5" s="98">
        <v>5.1900600000000002E-4</v>
      </c>
      <c r="BA5" s="98">
        <v>2.1443083590000001</v>
      </c>
      <c r="BB5" s="98">
        <v>0.39612344599999999</v>
      </c>
      <c r="BC5" s="98">
        <v>43.832582529</v>
      </c>
      <c r="BD5" s="98">
        <v>190.90185159000001</v>
      </c>
      <c r="BE5" s="98">
        <v>21.3104181</v>
      </c>
      <c r="BF5" s="98">
        <v>0.93892243200000003</v>
      </c>
      <c r="BG5" s="98">
        <v>0</v>
      </c>
      <c r="BH5" s="98">
        <v>0</v>
      </c>
      <c r="BI5" s="98">
        <v>0</v>
      </c>
      <c r="BJ5" s="98">
        <v>0</v>
      </c>
      <c r="BK5" s="98">
        <v>1240.3420226999999</v>
      </c>
      <c r="BL5" s="98">
        <v>1.3562200000000001E-4</v>
      </c>
      <c r="BM5" s="98">
        <v>4.5952129999999999E-3</v>
      </c>
      <c r="BN5" s="98">
        <v>0</v>
      </c>
      <c r="BO5" s="98">
        <v>0</v>
      </c>
      <c r="BP5" s="98">
        <v>0</v>
      </c>
      <c r="BQ5" s="98">
        <v>0</v>
      </c>
      <c r="BR5" s="98">
        <v>0</v>
      </c>
      <c r="BS5" s="98">
        <v>0</v>
      </c>
      <c r="BT5" s="98">
        <v>436.41411875599999</v>
      </c>
      <c r="BU5" s="98">
        <v>0</v>
      </c>
      <c r="BV5" s="98">
        <v>0</v>
      </c>
      <c r="BW5" s="82">
        <v>0</v>
      </c>
      <c r="BX5" s="100"/>
    </row>
    <row r="6" spans="1:76">
      <c r="A6" s="101" t="s">
        <v>822</v>
      </c>
      <c r="B6" s="98">
        <v>2.3331110000000001E-3</v>
      </c>
      <c r="C6" s="98">
        <v>1.12E-7</v>
      </c>
      <c r="D6" s="98">
        <v>7.2834000000000001E-5</v>
      </c>
      <c r="E6" s="98">
        <v>1.0970324E-2</v>
      </c>
      <c r="F6" s="98">
        <v>34.185171830000002</v>
      </c>
      <c r="G6" s="98">
        <v>5.3744199999999995E-4</v>
      </c>
      <c r="H6" s="98">
        <v>6.1143199999999997E-4</v>
      </c>
      <c r="I6" s="98">
        <v>1.0141588E-2</v>
      </c>
      <c r="J6" s="98">
        <v>6.0838050000000003E-3</v>
      </c>
      <c r="K6" s="98">
        <v>1.1456614E-2</v>
      </c>
      <c r="L6" s="98">
        <v>9.4058159999999991E-3</v>
      </c>
      <c r="M6" s="98">
        <v>2.2148369999999999E-3</v>
      </c>
      <c r="N6" s="98">
        <v>8.1921000000000004E-5</v>
      </c>
      <c r="O6" s="98">
        <v>1.40467E-4</v>
      </c>
      <c r="P6" s="98">
        <v>4.7817E-5</v>
      </c>
      <c r="Q6" s="98">
        <v>3E-9</v>
      </c>
      <c r="R6" s="98">
        <v>3.1214200000000001E-4</v>
      </c>
      <c r="S6" s="98">
        <v>8.4109000000000004E-5</v>
      </c>
      <c r="T6" s="98">
        <v>3.2890223000000003E-2</v>
      </c>
      <c r="U6" s="98">
        <v>0.223264459</v>
      </c>
      <c r="V6" s="98">
        <v>104.30500368</v>
      </c>
      <c r="W6" s="98">
        <v>1.7116441999999999E-2</v>
      </c>
      <c r="X6" s="98">
        <v>1.2253787E-2</v>
      </c>
      <c r="Y6" s="98">
        <v>1.9277421999999999E-2</v>
      </c>
      <c r="Z6" s="98">
        <v>31.021131476000001</v>
      </c>
      <c r="AA6" s="98">
        <v>5.3574494819999998</v>
      </c>
      <c r="AB6" s="98">
        <v>4.9892649999999997E-3</v>
      </c>
      <c r="AC6" s="98">
        <v>5.4052699999999996E-4</v>
      </c>
      <c r="AD6" s="98">
        <v>1.1029506870000001</v>
      </c>
      <c r="AE6" s="98">
        <v>2.3374979999999999E-3</v>
      </c>
      <c r="AF6" s="98">
        <v>5.9112528999999997E-2</v>
      </c>
      <c r="AG6" s="98">
        <v>3.4996110000000001E-3</v>
      </c>
      <c r="AH6" s="98">
        <v>87.083502800000005</v>
      </c>
      <c r="AI6" s="98">
        <v>6.6978600000000001E-4</v>
      </c>
      <c r="AJ6" s="98">
        <v>5.6464E-5</v>
      </c>
      <c r="AK6" s="98">
        <v>2.0630999999999999E-5</v>
      </c>
      <c r="AL6" s="98">
        <v>8.3102700000000002E-4</v>
      </c>
      <c r="AM6" s="98">
        <v>1.649E-6</v>
      </c>
      <c r="AN6" s="98">
        <v>4.9393E-5</v>
      </c>
      <c r="AO6" s="98">
        <v>2.75691E-3</v>
      </c>
      <c r="AP6" s="98">
        <v>4.2191899999999998E-4</v>
      </c>
      <c r="AQ6" s="98">
        <v>2.4757673000000001E-2</v>
      </c>
      <c r="AR6" s="98">
        <v>1.436688E-3</v>
      </c>
      <c r="AS6" s="98">
        <v>2.10235E-4</v>
      </c>
      <c r="AT6" s="98">
        <v>3.1264900000000002E-4</v>
      </c>
      <c r="AU6" s="98">
        <v>0.100768151</v>
      </c>
      <c r="AV6" s="98">
        <v>5.7715539999999999E-3</v>
      </c>
      <c r="AW6" s="98">
        <v>5.162688E-2</v>
      </c>
      <c r="AX6" s="98">
        <v>3.4374990000000001E-3</v>
      </c>
      <c r="AY6" s="98">
        <v>2.4211319999999999E-3</v>
      </c>
      <c r="AZ6" s="98">
        <v>4.8097299999999999E-4</v>
      </c>
      <c r="BA6" s="98">
        <v>1.8870786509999999</v>
      </c>
      <c r="BB6" s="98">
        <v>0.37009850999999999</v>
      </c>
      <c r="BC6" s="98">
        <v>16.373651606999999</v>
      </c>
      <c r="BD6" s="98">
        <v>2.3253385390000001</v>
      </c>
      <c r="BE6" s="98">
        <v>9.6927164799999996</v>
      </c>
      <c r="BF6" s="98">
        <v>1.624906693</v>
      </c>
      <c r="BG6" s="98">
        <v>0</v>
      </c>
      <c r="BH6" s="98">
        <v>0</v>
      </c>
      <c r="BI6" s="98">
        <v>0</v>
      </c>
      <c r="BJ6" s="98">
        <v>0</v>
      </c>
      <c r="BK6" s="98">
        <v>237.7045043</v>
      </c>
      <c r="BL6" s="98">
        <v>3.2060000000000001E-5</v>
      </c>
      <c r="BM6" s="98">
        <v>6.9128000000000006E-5</v>
      </c>
      <c r="BN6" s="98">
        <v>0</v>
      </c>
      <c r="BO6" s="98">
        <v>0</v>
      </c>
      <c r="BP6" s="98">
        <v>0</v>
      </c>
      <c r="BQ6" s="98">
        <v>0</v>
      </c>
      <c r="BR6" s="98">
        <v>0</v>
      </c>
      <c r="BS6" s="98">
        <v>0</v>
      </c>
      <c r="BT6" s="98">
        <v>11.927962117</v>
      </c>
      <c r="BU6" s="98">
        <v>0</v>
      </c>
      <c r="BV6" s="98">
        <v>0</v>
      </c>
      <c r="BW6" s="82">
        <v>0</v>
      </c>
      <c r="BX6" s="100"/>
    </row>
    <row r="7" spans="1:76">
      <c r="A7" s="101" t="s">
        <v>823</v>
      </c>
      <c r="B7" s="98">
        <v>4.2092060000000001E-3</v>
      </c>
      <c r="C7" s="98">
        <v>2.2499999999999999E-7</v>
      </c>
      <c r="D7" s="98">
        <v>1.2930099999999999E-4</v>
      </c>
      <c r="E7" s="98">
        <v>6.5227999999999998E-4</v>
      </c>
      <c r="F7" s="98">
        <v>4.1109300000000002E-4</v>
      </c>
      <c r="G7" s="98">
        <v>20.176818779000001</v>
      </c>
      <c r="H7" s="98">
        <v>1.2443529999999999E-3</v>
      </c>
      <c r="I7" s="98">
        <v>1.5698890000000001E-3</v>
      </c>
      <c r="J7" s="98">
        <v>5.6656399999999998E-4</v>
      </c>
      <c r="K7" s="98">
        <v>3.8743390000000001E-3</v>
      </c>
      <c r="L7" s="98">
        <v>2.6389600000000001E-4</v>
      </c>
      <c r="M7" s="98">
        <v>3.4320999999999999E-5</v>
      </c>
      <c r="N7" s="98">
        <v>1.50218E-4</v>
      </c>
      <c r="O7" s="98">
        <v>1.73804E-4</v>
      </c>
      <c r="P7" s="98">
        <v>1.0129200000000001E-4</v>
      </c>
      <c r="Q7" s="98">
        <v>6.9999999999999998E-9</v>
      </c>
      <c r="R7" s="98">
        <v>6.6633800000000004E-4</v>
      </c>
      <c r="S7" s="98">
        <v>1.7747600000000001E-4</v>
      </c>
      <c r="T7" s="98">
        <v>2.45049E-4</v>
      </c>
      <c r="U7" s="98">
        <v>6.8289100000000003E-4</v>
      </c>
      <c r="V7" s="98">
        <v>2.7837029999999998E-3</v>
      </c>
      <c r="W7" s="98">
        <v>1.4100199999999999E-4</v>
      </c>
      <c r="X7" s="98">
        <v>8.0836840000000007E-3</v>
      </c>
      <c r="Y7" s="98">
        <v>435.38076253899999</v>
      </c>
      <c r="Z7" s="98">
        <v>1.0036639E-2</v>
      </c>
      <c r="AA7" s="98">
        <v>1.5321950000000001E-3</v>
      </c>
      <c r="AB7" s="98">
        <v>5.5491639999999997E-3</v>
      </c>
      <c r="AC7" s="98">
        <v>4.3481900000000003E-4</v>
      </c>
      <c r="AD7" s="98">
        <v>1.5021959999999999E-3</v>
      </c>
      <c r="AE7" s="98">
        <v>3.8932390000000002E-3</v>
      </c>
      <c r="AF7" s="98">
        <v>9.792920000000001E-4</v>
      </c>
      <c r="AG7" s="98">
        <v>7.4782800000000003E-3</v>
      </c>
      <c r="AH7" s="98">
        <v>2.451459E-3</v>
      </c>
      <c r="AI7" s="98">
        <v>1.406039E-3</v>
      </c>
      <c r="AJ7" s="98">
        <v>1.14164E-4</v>
      </c>
      <c r="AK7" s="98">
        <v>4.2880000000000003E-5</v>
      </c>
      <c r="AL7" s="98">
        <v>1.741593E-3</v>
      </c>
      <c r="AM7" s="98">
        <v>9.5799999999999998E-7</v>
      </c>
      <c r="AN7" s="98">
        <v>1.04986E-4</v>
      </c>
      <c r="AO7" s="98">
        <v>5.8605300000000001E-3</v>
      </c>
      <c r="AP7" s="98">
        <v>5.43532E-4</v>
      </c>
      <c r="AQ7" s="98">
        <v>8.2175519999999995E-3</v>
      </c>
      <c r="AR7" s="98">
        <v>2.7093270000000001E-3</v>
      </c>
      <c r="AS7" s="98">
        <v>3.95227E-4</v>
      </c>
      <c r="AT7" s="98">
        <v>6.0371600000000002E-4</v>
      </c>
      <c r="AU7" s="98">
        <v>1.0112000000000001E-5</v>
      </c>
      <c r="AV7" s="98">
        <v>1.2308620000000001E-3</v>
      </c>
      <c r="AW7" s="98">
        <v>4.435324E-3</v>
      </c>
      <c r="AX7" s="98">
        <v>3.0543600000000002E-4</v>
      </c>
      <c r="AY7" s="98">
        <v>1.9873699999999999E-4</v>
      </c>
      <c r="AZ7" s="98">
        <v>1.0255209999999999E-3</v>
      </c>
      <c r="BA7" s="98">
        <v>1.0163085000000001E-2</v>
      </c>
      <c r="BB7" s="98">
        <v>1.6489E-3</v>
      </c>
      <c r="BC7" s="98">
        <v>0.67341601100000004</v>
      </c>
      <c r="BD7" s="98">
        <v>0.11095218799999999</v>
      </c>
      <c r="BE7" s="98">
        <v>0.18274336199999999</v>
      </c>
      <c r="BF7" s="98">
        <v>4.9703248999999998E-2</v>
      </c>
      <c r="BG7" s="98">
        <v>0</v>
      </c>
      <c r="BH7" s="98">
        <v>0</v>
      </c>
      <c r="BI7" s="98">
        <v>0</v>
      </c>
      <c r="BJ7" s="98">
        <v>0</v>
      </c>
      <c r="BK7" s="98">
        <v>5.8807502999999997E-2</v>
      </c>
      <c r="BL7" s="98">
        <v>5.3817000000000003E-5</v>
      </c>
      <c r="BM7" s="98">
        <v>1.3875500000000001E-4</v>
      </c>
      <c r="BN7" s="98">
        <v>0</v>
      </c>
      <c r="BO7" s="98">
        <v>0</v>
      </c>
      <c r="BP7" s="98">
        <v>0</v>
      </c>
      <c r="BQ7" s="98">
        <v>0</v>
      </c>
      <c r="BR7" s="98">
        <v>0</v>
      </c>
      <c r="BS7" s="98">
        <v>0</v>
      </c>
      <c r="BT7" s="98">
        <v>2.8844248999999999E-2</v>
      </c>
      <c r="BU7" s="98">
        <v>0</v>
      </c>
      <c r="BV7" s="98">
        <v>0</v>
      </c>
      <c r="BW7" s="82">
        <v>0</v>
      </c>
      <c r="BX7" s="100"/>
    </row>
    <row r="8" spans="1:76">
      <c r="A8" s="101" t="s">
        <v>824</v>
      </c>
      <c r="B8" s="98">
        <v>1.6751139999999999E-3</v>
      </c>
      <c r="C8" s="98">
        <v>8.9999999999999999E-8</v>
      </c>
      <c r="D8" s="98">
        <v>5.4131000000000001E-5</v>
      </c>
      <c r="E8" s="98">
        <v>3.1432399999999999E-4</v>
      </c>
      <c r="F8" s="98">
        <v>1.6174000000000001E-4</v>
      </c>
      <c r="G8" s="98">
        <v>3.8628099999999998E-4</v>
      </c>
      <c r="H8" s="98">
        <v>1.6887503189999999</v>
      </c>
      <c r="I8" s="98">
        <v>7.2462600000000002E-4</v>
      </c>
      <c r="J8" s="98">
        <v>6.7000000000000002E-6</v>
      </c>
      <c r="K8" s="98">
        <v>9.9302999999999994E-5</v>
      </c>
      <c r="L8" s="98">
        <v>5.2340000000000002E-6</v>
      </c>
      <c r="M8" s="98">
        <v>1.31E-5</v>
      </c>
      <c r="N8" s="98">
        <v>9.5872999999999995E-5</v>
      </c>
      <c r="O8" s="98">
        <v>3.9993999999999997E-5</v>
      </c>
      <c r="P8" s="98">
        <v>3.9063999999999997E-5</v>
      </c>
      <c r="Q8" s="98">
        <v>3.0800000000000001E-7</v>
      </c>
      <c r="R8" s="98">
        <v>2.6273300000000002E-4</v>
      </c>
      <c r="S8" s="98">
        <v>6.6638999999999997E-5</v>
      </c>
      <c r="T8" s="98">
        <v>1.09189E-4</v>
      </c>
      <c r="U8" s="98">
        <v>2.3767800000000001E-4</v>
      </c>
      <c r="V8" s="98">
        <v>0.74581640699999996</v>
      </c>
      <c r="W8" s="98">
        <v>5.9162E-5</v>
      </c>
      <c r="X8" s="98">
        <v>5.0143840000000002E-3</v>
      </c>
      <c r="Y8" s="98">
        <v>1.596215E-3</v>
      </c>
      <c r="Z8" s="98">
        <v>4.4595620000000002E-3</v>
      </c>
      <c r="AA8" s="98">
        <v>6.1317499999999998E-4</v>
      </c>
      <c r="AB8" s="98">
        <v>632.91320800000005</v>
      </c>
      <c r="AC8" s="98">
        <v>2.1912260000000001E-3</v>
      </c>
      <c r="AD8" s="98">
        <v>3.0172800000000002E-4</v>
      </c>
      <c r="AE8" s="98">
        <v>1.532051E-3</v>
      </c>
      <c r="AF8" s="98">
        <v>7.5526761330000003</v>
      </c>
      <c r="AG8" s="98">
        <v>2.9574969999999999E-3</v>
      </c>
      <c r="AH8" s="98">
        <v>5.2569100000000001E-4</v>
      </c>
      <c r="AI8" s="98">
        <v>5.5938400000000001E-4</v>
      </c>
      <c r="AJ8" s="98">
        <v>4.0302000000000001E-5</v>
      </c>
      <c r="AK8" s="98">
        <v>1.5784E-5</v>
      </c>
      <c r="AL8" s="98">
        <v>6.9403599999999998E-4</v>
      </c>
      <c r="AM8" s="98">
        <v>9.1700000000000003E-6</v>
      </c>
      <c r="AN8" s="98">
        <v>3.7567000000000001E-5</v>
      </c>
      <c r="AO8" s="98">
        <v>2.2624569999999998E-3</v>
      </c>
      <c r="AP8" s="98">
        <v>1.9656400000000001E-4</v>
      </c>
      <c r="AQ8" s="98">
        <v>0.38957223600000002</v>
      </c>
      <c r="AR8" s="98">
        <v>1.07627E-3</v>
      </c>
      <c r="AS8" s="98">
        <v>1.54637E-4</v>
      </c>
      <c r="AT8" s="98">
        <v>2.3529900000000001E-4</v>
      </c>
      <c r="AU8" s="98">
        <v>8.4339999999999992E-6</v>
      </c>
      <c r="AV8" s="98">
        <v>1.102406E-3</v>
      </c>
      <c r="AW8" s="98">
        <v>1.766091E-3</v>
      </c>
      <c r="AX8" s="98">
        <v>1.1580499999999999E-4</v>
      </c>
      <c r="AY8" s="98">
        <v>1.7832000000000001E-5</v>
      </c>
      <c r="AZ8" s="98">
        <v>4.0162800000000001E-4</v>
      </c>
      <c r="BA8" s="98">
        <v>4.3550100000000003E-3</v>
      </c>
      <c r="BB8" s="98">
        <v>6.64159E-4</v>
      </c>
      <c r="BC8" s="98">
        <v>2.1102053270000001</v>
      </c>
      <c r="BD8" s="98">
        <v>0.24098758100000001</v>
      </c>
      <c r="BE8" s="98">
        <v>8.7524E-4</v>
      </c>
      <c r="BF8" s="98">
        <v>0.68137387599999999</v>
      </c>
      <c r="BG8" s="98">
        <v>0</v>
      </c>
      <c r="BH8" s="98">
        <v>0</v>
      </c>
      <c r="BI8" s="98">
        <v>0</v>
      </c>
      <c r="BJ8" s="98">
        <v>0</v>
      </c>
      <c r="BK8" s="98">
        <v>4.7234399999999998E-4</v>
      </c>
      <c r="BL8" s="98">
        <v>1.7422999999999999E-5</v>
      </c>
      <c r="BM8" s="98">
        <v>4.7073999999999997E-5</v>
      </c>
      <c r="BN8" s="98">
        <v>0</v>
      </c>
      <c r="BO8" s="98">
        <v>0</v>
      </c>
      <c r="BP8" s="98">
        <v>0</v>
      </c>
      <c r="BQ8" s="98">
        <v>0</v>
      </c>
      <c r="BR8" s="98">
        <v>0</v>
      </c>
      <c r="BS8" s="98">
        <v>0</v>
      </c>
      <c r="BT8" s="98">
        <v>7.3825132340000001</v>
      </c>
      <c r="BU8" s="98">
        <v>0</v>
      </c>
      <c r="BV8" s="98">
        <v>0</v>
      </c>
      <c r="BW8" s="82">
        <v>0</v>
      </c>
      <c r="BX8" s="100"/>
    </row>
    <row r="9" spans="1:76">
      <c r="A9" s="101" t="s">
        <v>825</v>
      </c>
      <c r="B9" s="98">
        <v>5.4849038000000003E-2</v>
      </c>
      <c r="C9" s="98">
        <v>2.074E-6</v>
      </c>
      <c r="D9" s="98">
        <v>1.0897529999999999E-3</v>
      </c>
      <c r="E9" s="98">
        <v>0.103857929</v>
      </c>
      <c r="F9" s="98">
        <v>1.1657305E-2</v>
      </c>
      <c r="G9" s="98">
        <v>1.2438253E-2</v>
      </c>
      <c r="H9" s="98">
        <v>3.6984240000000001E-3</v>
      </c>
      <c r="I9" s="98">
        <v>75.268399775000006</v>
      </c>
      <c r="J9" s="98">
        <v>1.2364517079999999</v>
      </c>
      <c r="K9" s="98">
        <v>18.242481806000001</v>
      </c>
      <c r="L9" s="98">
        <v>0.539046417</v>
      </c>
      <c r="M9" s="98">
        <v>1.0582067000000001E-2</v>
      </c>
      <c r="N9" s="98">
        <v>4.7437E-4</v>
      </c>
      <c r="O9" s="98">
        <v>9.4931740000000001E-3</v>
      </c>
      <c r="P9" s="98">
        <v>6.3343000000000007E-5</v>
      </c>
      <c r="Q9" s="98">
        <v>2.7999999999999999E-8</v>
      </c>
      <c r="R9" s="98">
        <v>3.9325100000000001E-4</v>
      </c>
      <c r="S9" s="98">
        <v>1.13836E-4</v>
      </c>
      <c r="T9" s="98">
        <v>0.28154413900000003</v>
      </c>
      <c r="U9" s="98">
        <v>1.89730577</v>
      </c>
      <c r="V9" s="98">
        <v>5.5585822E-2</v>
      </c>
      <c r="W9" s="98">
        <v>0.14671809299999999</v>
      </c>
      <c r="X9" s="98">
        <v>9.5467090000000004E-3</v>
      </c>
      <c r="Y9" s="98">
        <v>0.14127352000000001</v>
      </c>
      <c r="Z9" s="98">
        <v>327.83377485900002</v>
      </c>
      <c r="AA9" s="98">
        <v>67.987190200000001</v>
      </c>
      <c r="AB9" s="98">
        <v>8.9132980000000001E-3</v>
      </c>
      <c r="AC9" s="98">
        <v>2.1861039999999999E-3</v>
      </c>
      <c r="AD9" s="98">
        <v>0.26761645099999998</v>
      </c>
      <c r="AE9" s="98">
        <v>6.8714680000000004E-3</v>
      </c>
      <c r="AF9" s="98">
        <v>0.50556188700000004</v>
      </c>
      <c r="AG9" s="98">
        <v>4.42502E-3</v>
      </c>
      <c r="AH9" s="98">
        <v>627.41910402999997</v>
      </c>
      <c r="AI9" s="98">
        <v>9.6152399999999995E-4</v>
      </c>
      <c r="AJ9" s="98">
        <v>1.1432E-4</v>
      </c>
      <c r="AK9" s="98">
        <v>4.2438000000000003E-5</v>
      </c>
      <c r="AL9" s="98">
        <v>1.0952239999999999E-3</v>
      </c>
      <c r="AM9" s="98">
        <v>1.6500000000000001E-6</v>
      </c>
      <c r="AN9" s="98">
        <v>7.1080000000000004E-5</v>
      </c>
      <c r="AO9" s="98">
        <v>3.5798480000000001E-3</v>
      </c>
      <c r="AP9" s="98">
        <v>3.6913499999999998E-4</v>
      </c>
      <c r="AQ9" s="98">
        <v>4.7095414000000002E-2</v>
      </c>
      <c r="AR9" s="98">
        <v>3.180885E-3</v>
      </c>
      <c r="AS9" s="98">
        <v>4.8131699999999999E-4</v>
      </c>
      <c r="AT9" s="98">
        <v>6.8531199999999999E-4</v>
      </c>
      <c r="AU9" s="98">
        <v>0.87111183800000003</v>
      </c>
      <c r="AV9" s="98">
        <v>7.1944549999999996E-2</v>
      </c>
      <c r="AW9" s="98">
        <v>0.42194017299999997</v>
      </c>
      <c r="AX9" s="98">
        <v>3.0292784E-2</v>
      </c>
      <c r="AY9" s="98">
        <v>2.8227057E-2</v>
      </c>
      <c r="AZ9" s="98">
        <v>6.1117300000000001E-4</v>
      </c>
      <c r="BA9" s="98">
        <v>0.69251906900000004</v>
      </c>
      <c r="BB9" s="98">
        <v>0.13158367900000001</v>
      </c>
      <c r="BC9" s="98">
        <v>41.573681348000001</v>
      </c>
      <c r="BD9" s="98">
        <v>121.810356883</v>
      </c>
      <c r="BE9" s="98">
        <v>11.278069609999999</v>
      </c>
      <c r="BF9" s="98">
        <v>2.9907844099999998</v>
      </c>
      <c r="BG9" s="98">
        <v>0</v>
      </c>
      <c r="BH9" s="98">
        <v>0</v>
      </c>
      <c r="BI9" s="98">
        <v>0</v>
      </c>
      <c r="BJ9" s="98">
        <v>0</v>
      </c>
      <c r="BK9" s="98">
        <v>290.483856</v>
      </c>
      <c r="BL9" s="98">
        <v>8.3279E-5</v>
      </c>
      <c r="BM9" s="98">
        <v>1.2081434E-2</v>
      </c>
      <c r="BN9" s="98">
        <v>0</v>
      </c>
      <c r="BO9" s="98">
        <v>0</v>
      </c>
      <c r="BP9" s="98">
        <v>0</v>
      </c>
      <c r="BQ9" s="98">
        <v>0</v>
      </c>
      <c r="BR9" s="98">
        <v>0</v>
      </c>
      <c r="BS9" s="98">
        <v>0</v>
      </c>
      <c r="BT9" s="98">
        <v>1922.1259401360001</v>
      </c>
      <c r="BU9" s="98">
        <v>0</v>
      </c>
      <c r="BV9" s="98">
        <v>0</v>
      </c>
      <c r="BW9" s="82">
        <v>0</v>
      </c>
      <c r="BX9" s="100"/>
    </row>
    <row r="10" spans="1:76">
      <c r="A10" s="101" t="s">
        <v>826</v>
      </c>
      <c r="B10" s="98">
        <v>1.7877792999999999E-2</v>
      </c>
      <c r="C10" s="98">
        <v>9.3980000000000005E-6</v>
      </c>
      <c r="D10" s="98">
        <v>5.2459070000000002E-3</v>
      </c>
      <c r="E10" s="98">
        <v>1.7004927999999999E-2</v>
      </c>
      <c r="F10" s="98">
        <v>1.816065E-3</v>
      </c>
      <c r="G10" s="98">
        <v>4.1567929999999998E-3</v>
      </c>
      <c r="H10" s="98">
        <v>1.4282819999999999E-3</v>
      </c>
      <c r="I10" s="98">
        <v>4.1130551000000001E-2</v>
      </c>
      <c r="J10" s="98">
        <v>8.6438323889999999</v>
      </c>
      <c r="K10" s="98">
        <v>8.05261E-3</v>
      </c>
      <c r="L10" s="98">
        <v>4.4907200000000001E-4</v>
      </c>
      <c r="M10" s="98">
        <v>1.53998E-4</v>
      </c>
      <c r="N10" s="98">
        <v>1.97634E-4</v>
      </c>
      <c r="O10" s="98">
        <v>1.5523487000000001E-2</v>
      </c>
      <c r="P10" s="98">
        <v>8.9127000000000002E-5</v>
      </c>
      <c r="Q10" s="98">
        <v>6.9999999999999998E-9</v>
      </c>
      <c r="R10" s="98">
        <v>5.3218199999999997E-4</v>
      </c>
      <c r="S10" s="98">
        <v>1.6289599999999999E-4</v>
      </c>
      <c r="T10" s="98">
        <v>130.35529310999999</v>
      </c>
      <c r="U10" s="98">
        <v>0.40999823600000002</v>
      </c>
      <c r="V10" s="98">
        <v>2.6288599999999998E-3</v>
      </c>
      <c r="W10" s="98">
        <v>3.0614557000000001E-2</v>
      </c>
      <c r="X10" s="98">
        <v>3.0173019999999999E-3</v>
      </c>
      <c r="Y10" s="98">
        <v>7.8029599999999998E-4</v>
      </c>
      <c r="Z10" s="98">
        <v>3.5316881250000001</v>
      </c>
      <c r="AA10" s="98">
        <v>9.5211299999999998E-4</v>
      </c>
      <c r="AB10" s="98">
        <v>5.9234667239999999</v>
      </c>
      <c r="AC10" s="98">
        <v>1.7236453490000001</v>
      </c>
      <c r="AD10" s="98">
        <v>15.19548245</v>
      </c>
      <c r="AE10" s="98">
        <v>3.2731259999999999E-3</v>
      </c>
      <c r="AF10" s="98">
        <v>8.2036100000000003E-4</v>
      </c>
      <c r="AG10" s="98">
        <v>5.9164869999999998E-3</v>
      </c>
      <c r="AH10" s="98">
        <v>7.629999551</v>
      </c>
      <c r="AI10" s="98">
        <v>1.30879E-3</v>
      </c>
      <c r="AJ10" s="98">
        <v>1.2428600000000001E-4</v>
      </c>
      <c r="AK10" s="98">
        <v>4.1829000000000002E-5</v>
      </c>
      <c r="AL10" s="98">
        <v>1.422949E-3</v>
      </c>
      <c r="AM10" s="98">
        <v>8.8653999999999995E-5</v>
      </c>
      <c r="AN10" s="98">
        <v>1.03657E-4</v>
      </c>
      <c r="AO10" s="98">
        <v>4.9519519999999999E-3</v>
      </c>
      <c r="AP10" s="98">
        <v>1.3085460000000001E-3</v>
      </c>
      <c r="AQ10" s="98">
        <v>0.16258493800000001</v>
      </c>
      <c r="AR10" s="98">
        <v>2.137866E-3</v>
      </c>
      <c r="AS10" s="98">
        <v>3.2476899999999998E-4</v>
      </c>
      <c r="AT10" s="98">
        <v>4.9841499999999999E-4</v>
      </c>
      <c r="AU10" s="98">
        <v>2.0764700000000001E-4</v>
      </c>
      <c r="AV10" s="98">
        <v>9.1780739999999996E-3</v>
      </c>
      <c r="AW10" s="98">
        <v>3.5561080000000001E-3</v>
      </c>
      <c r="AX10" s="98">
        <v>2.9854799999999999E-4</v>
      </c>
      <c r="AY10" s="98">
        <v>3.5452299999999998E-4</v>
      </c>
      <c r="AZ10" s="98">
        <v>8.3298400000000005E-4</v>
      </c>
      <c r="BA10" s="98">
        <v>8.0874870000000008E-3</v>
      </c>
      <c r="BB10" s="98">
        <v>1.3591160000000001E-3</v>
      </c>
      <c r="BC10" s="98">
        <v>9.0482637839999995</v>
      </c>
      <c r="BD10" s="98">
        <v>0.79915455300000005</v>
      </c>
      <c r="BE10" s="98">
        <v>0.69743347899999997</v>
      </c>
      <c r="BF10" s="98">
        <v>0.41927619700000002</v>
      </c>
      <c r="BG10" s="98">
        <v>0</v>
      </c>
      <c r="BH10" s="98">
        <v>0</v>
      </c>
      <c r="BI10" s="98">
        <v>0</v>
      </c>
      <c r="BJ10" s="98">
        <v>0</v>
      </c>
      <c r="BK10" s="98">
        <v>39.546795127000003</v>
      </c>
      <c r="BL10" s="98">
        <v>6.3249999999999996E-6</v>
      </c>
      <c r="BM10" s="98">
        <v>0.74256484599999995</v>
      </c>
      <c r="BN10" s="98">
        <v>0</v>
      </c>
      <c r="BO10" s="98">
        <v>0</v>
      </c>
      <c r="BP10" s="98">
        <v>0</v>
      </c>
      <c r="BQ10" s="98">
        <v>0</v>
      </c>
      <c r="BR10" s="98">
        <v>0</v>
      </c>
      <c r="BS10" s="98">
        <v>0</v>
      </c>
      <c r="BT10" s="98">
        <v>1.9600424940000001</v>
      </c>
      <c r="BU10" s="98">
        <v>0</v>
      </c>
      <c r="BV10" s="98">
        <v>0</v>
      </c>
      <c r="BW10" s="82">
        <v>0</v>
      </c>
      <c r="BX10" s="100"/>
    </row>
    <row r="11" spans="1:76">
      <c r="A11" s="101" t="s">
        <v>827</v>
      </c>
      <c r="B11" s="98">
        <v>1.0105223E-2</v>
      </c>
      <c r="C11" s="98">
        <v>1.9487000000000002E-5</v>
      </c>
      <c r="D11" s="98">
        <v>9.0647760000000001E-3</v>
      </c>
      <c r="E11" s="98">
        <v>1.9354751E-2</v>
      </c>
      <c r="F11" s="98">
        <v>4.8466239999999999E-3</v>
      </c>
      <c r="G11" s="98">
        <v>9.6248989999999993E-3</v>
      </c>
      <c r="H11" s="98">
        <v>1.354704E-3</v>
      </c>
      <c r="I11" s="98">
        <v>0.143896519</v>
      </c>
      <c r="J11" s="98">
        <v>1.365628E-3</v>
      </c>
      <c r="K11" s="98">
        <v>35.934075598</v>
      </c>
      <c r="L11" s="98">
        <v>6.9818099999999998E-4</v>
      </c>
      <c r="M11" s="98">
        <v>8.2751999999999996E-5</v>
      </c>
      <c r="N11" s="98">
        <v>2.34835E-4</v>
      </c>
      <c r="O11" s="98">
        <v>1.8922217000000002E-2</v>
      </c>
      <c r="P11" s="98">
        <v>1.0693500000000001E-4</v>
      </c>
      <c r="Q11" s="98">
        <v>1.3000000000000001E-8</v>
      </c>
      <c r="R11" s="98">
        <v>5.7652699999999996E-4</v>
      </c>
      <c r="S11" s="98">
        <v>3.2797799999999998E-4</v>
      </c>
      <c r="T11" s="98">
        <v>0.172746068</v>
      </c>
      <c r="U11" s="98">
        <v>1960.536485808</v>
      </c>
      <c r="V11" s="98">
        <v>8.3698239999999997E-3</v>
      </c>
      <c r="W11" s="98">
        <v>5.8916233999999998E-2</v>
      </c>
      <c r="X11" s="98">
        <v>3.105319E-3</v>
      </c>
      <c r="Y11" s="98">
        <v>8.0867700000000005E-4</v>
      </c>
      <c r="Z11" s="98">
        <v>7.0593121539999997</v>
      </c>
      <c r="AA11" s="98">
        <v>1.431606E-3</v>
      </c>
      <c r="AB11" s="98">
        <v>11.608179227000001</v>
      </c>
      <c r="AC11" s="98">
        <v>14.613305788</v>
      </c>
      <c r="AD11" s="98">
        <v>120.63127556000001</v>
      </c>
      <c r="AE11" s="98">
        <v>3.5687219999999999E-3</v>
      </c>
      <c r="AF11" s="98">
        <v>9.1866599999999995E-4</v>
      </c>
      <c r="AG11" s="98">
        <v>6.4040929999999996E-3</v>
      </c>
      <c r="AH11" s="98">
        <v>63.755649902999998</v>
      </c>
      <c r="AI11" s="98">
        <v>1.3847390000000001E-3</v>
      </c>
      <c r="AJ11" s="98">
        <v>1.40142E-4</v>
      </c>
      <c r="AK11" s="98">
        <v>4.6422999999999999E-5</v>
      </c>
      <c r="AL11" s="98">
        <v>2.3713749999999998E-3</v>
      </c>
      <c r="AM11" s="98">
        <v>1.17534E-4</v>
      </c>
      <c r="AN11" s="98">
        <v>1.15554E-4</v>
      </c>
      <c r="AO11" s="98">
        <v>5.40092E-3</v>
      </c>
      <c r="AP11" s="98">
        <v>3.833043E-3</v>
      </c>
      <c r="AQ11" s="98">
        <v>0.42578502000000001</v>
      </c>
      <c r="AR11" s="98">
        <v>4.3711519999999997E-3</v>
      </c>
      <c r="AS11" s="98">
        <v>3.5298600000000001E-4</v>
      </c>
      <c r="AT11" s="98">
        <v>5.4236599999999996E-4</v>
      </c>
      <c r="AU11" s="98">
        <v>2.2847399999999999E-4</v>
      </c>
      <c r="AV11" s="98">
        <v>2.2776767999999999E-2</v>
      </c>
      <c r="AW11" s="98">
        <v>7.3084860000000003E-3</v>
      </c>
      <c r="AX11" s="98">
        <v>3.3330700000000003E-4</v>
      </c>
      <c r="AY11" s="98">
        <v>4.19369E-4</v>
      </c>
      <c r="AZ11" s="98">
        <v>9.0506500000000004E-4</v>
      </c>
      <c r="BA11" s="98">
        <v>8.7765199999999995E-3</v>
      </c>
      <c r="BB11" s="98">
        <v>1.4797670000000001E-3</v>
      </c>
      <c r="BC11" s="98">
        <v>11.17478275</v>
      </c>
      <c r="BD11" s="98">
        <v>11.456034819999999</v>
      </c>
      <c r="BE11" s="98">
        <v>1.348424938</v>
      </c>
      <c r="BF11" s="98">
        <v>0.28491566299999999</v>
      </c>
      <c r="BG11" s="98">
        <v>0</v>
      </c>
      <c r="BH11" s="98">
        <v>0</v>
      </c>
      <c r="BI11" s="98">
        <v>0</v>
      </c>
      <c r="BJ11" s="98">
        <v>0</v>
      </c>
      <c r="BK11" s="98">
        <v>342.20983280000002</v>
      </c>
      <c r="BL11" s="98">
        <v>2.3084000000000001E-5</v>
      </c>
      <c r="BM11" s="98">
        <v>57.734460718000001</v>
      </c>
      <c r="BN11" s="98">
        <v>0</v>
      </c>
      <c r="BO11" s="98">
        <v>0</v>
      </c>
      <c r="BP11" s="98">
        <v>0</v>
      </c>
      <c r="BQ11" s="98">
        <v>0</v>
      </c>
      <c r="BR11" s="98">
        <v>0</v>
      </c>
      <c r="BS11" s="98">
        <v>0</v>
      </c>
      <c r="BT11" s="98">
        <v>102.457089905</v>
      </c>
      <c r="BU11" s="98">
        <v>0</v>
      </c>
      <c r="BV11" s="98">
        <v>0</v>
      </c>
      <c r="BW11" s="82">
        <v>0</v>
      </c>
      <c r="BX11" s="100"/>
    </row>
    <row r="12" spans="1:76">
      <c r="A12" s="101" t="s">
        <v>828</v>
      </c>
      <c r="B12" s="98">
        <v>1.5972714999999998E-2</v>
      </c>
      <c r="C12" s="98">
        <v>1.1963999999999999E-5</v>
      </c>
      <c r="D12" s="98">
        <v>5.1360049999999999E-3</v>
      </c>
      <c r="E12" s="98">
        <v>6.6045599999999998E-3</v>
      </c>
      <c r="F12" s="98">
        <v>3.5441769999999999E-3</v>
      </c>
      <c r="G12" s="98">
        <v>6.1547809999999998E-3</v>
      </c>
      <c r="H12" s="98">
        <v>1.6226190000000001E-3</v>
      </c>
      <c r="I12" s="98">
        <v>9.4120341999999996E-2</v>
      </c>
      <c r="J12" s="98">
        <v>6.387663E-3</v>
      </c>
      <c r="K12" s="98">
        <v>6.4394742000000005E-2</v>
      </c>
      <c r="L12" s="98">
        <v>4.6218978799999997</v>
      </c>
      <c r="M12" s="98">
        <v>5.0933999999999997E-5</v>
      </c>
      <c r="N12" s="98">
        <v>2.3562799999999999E-4</v>
      </c>
      <c r="O12" s="98">
        <v>9.4779900000000004E-4</v>
      </c>
      <c r="P12" s="98">
        <v>1.17716E-4</v>
      </c>
      <c r="Q12" s="98">
        <v>4.1199999999999998E-7</v>
      </c>
      <c r="R12" s="98">
        <v>7.0858800000000001E-4</v>
      </c>
      <c r="S12" s="98">
        <v>2.1634000000000001E-4</v>
      </c>
      <c r="T12" s="98">
        <v>8.6941226999999996E-2</v>
      </c>
      <c r="U12" s="98">
        <v>0.58716842000000002</v>
      </c>
      <c r="V12" s="98">
        <v>2.6931860000000002E-3</v>
      </c>
      <c r="W12" s="98">
        <v>92.782011775000001</v>
      </c>
      <c r="X12" s="98">
        <v>3.2668739999999999E-3</v>
      </c>
      <c r="Y12" s="98">
        <v>1.281117E-3</v>
      </c>
      <c r="Z12" s="98">
        <v>4.7034247440000003</v>
      </c>
      <c r="AA12" s="98">
        <v>9.363873E-3</v>
      </c>
      <c r="AB12" s="98">
        <v>7.8624072570000001</v>
      </c>
      <c r="AC12" s="98">
        <v>8.8927574999999995E-2</v>
      </c>
      <c r="AD12" s="98">
        <v>2.8310542120000002</v>
      </c>
      <c r="AE12" s="98">
        <v>9.9686719999999996E-3</v>
      </c>
      <c r="AF12" s="98">
        <v>1.1115719999999999E-3</v>
      </c>
      <c r="AG12" s="98">
        <v>7.9145499999999994E-3</v>
      </c>
      <c r="AH12" s="98">
        <v>0.888463318</v>
      </c>
      <c r="AI12" s="98">
        <v>3.1272790000000002E-3</v>
      </c>
      <c r="AJ12" s="98">
        <v>1.6456000000000001E-4</v>
      </c>
      <c r="AK12" s="98">
        <v>5.6331E-5</v>
      </c>
      <c r="AL12" s="98">
        <v>9.0540880000000001E-3</v>
      </c>
      <c r="AM12" s="98">
        <v>8.9373E-5</v>
      </c>
      <c r="AN12" s="98">
        <v>1.6838700000000001E-4</v>
      </c>
      <c r="AO12" s="98">
        <v>6.6330219999999997E-3</v>
      </c>
      <c r="AP12" s="98">
        <v>1.9493518000000001E-2</v>
      </c>
      <c r="AQ12" s="98">
        <v>0.205449083</v>
      </c>
      <c r="AR12" s="98">
        <v>2.5648511999999998E-2</v>
      </c>
      <c r="AS12" s="98">
        <v>4.3033999999999998E-4</v>
      </c>
      <c r="AT12" s="98">
        <v>1.037795E-3</v>
      </c>
      <c r="AU12" s="98">
        <v>4.49419E-4</v>
      </c>
      <c r="AV12" s="98">
        <v>3.2319549000000003E-2</v>
      </c>
      <c r="AW12" s="98">
        <v>3.8710442999999997E-2</v>
      </c>
      <c r="AX12" s="98">
        <v>6.1973900000000001E-4</v>
      </c>
      <c r="AY12" s="98">
        <v>5.41783E-4</v>
      </c>
      <c r="AZ12" s="98">
        <v>1.114018E-3</v>
      </c>
      <c r="BA12" s="98">
        <v>1.0875521000000001E-2</v>
      </c>
      <c r="BB12" s="98">
        <v>1.8079960000000001E-3</v>
      </c>
      <c r="BC12" s="98">
        <v>12.885648530999999</v>
      </c>
      <c r="BD12" s="98">
        <v>0.147378535</v>
      </c>
      <c r="BE12" s="98">
        <v>0.92876677399999996</v>
      </c>
      <c r="BF12" s="98">
        <v>7.7336342000000002E-2</v>
      </c>
      <c r="BG12" s="98">
        <v>0</v>
      </c>
      <c r="BH12" s="98">
        <v>0</v>
      </c>
      <c r="BI12" s="98">
        <v>0</v>
      </c>
      <c r="BJ12" s="98">
        <v>0</v>
      </c>
      <c r="BK12" s="98">
        <v>1.291991873</v>
      </c>
      <c r="BL12" s="98">
        <v>3.9975999999999998E-5</v>
      </c>
      <c r="BM12" s="98">
        <v>5.4177280000000001E-3</v>
      </c>
      <c r="BN12" s="98">
        <v>0</v>
      </c>
      <c r="BO12" s="98">
        <v>0</v>
      </c>
      <c r="BP12" s="98">
        <v>0</v>
      </c>
      <c r="BQ12" s="98">
        <v>0</v>
      </c>
      <c r="BR12" s="98">
        <v>0</v>
      </c>
      <c r="BS12" s="98">
        <v>0</v>
      </c>
      <c r="BT12" s="98">
        <v>2.0548733E-2</v>
      </c>
      <c r="BU12" s="98">
        <v>0</v>
      </c>
      <c r="BV12" s="98">
        <v>0</v>
      </c>
      <c r="BW12" s="82">
        <v>0</v>
      </c>
      <c r="BX12" s="100"/>
    </row>
    <row r="13" spans="1:76">
      <c r="A13" s="101" t="s">
        <v>829</v>
      </c>
      <c r="B13" s="98">
        <v>2.2133640000000002E-3</v>
      </c>
      <c r="C13" s="98">
        <v>1.3E-7</v>
      </c>
      <c r="D13" s="98">
        <v>7.5185999999999995E-5</v>
      </c>
      <c r="E13" s="98">
        <v>2.4865899999999998E-4</v>
      </c>
      <c r="F13" s="98">
        <v>1.94735E-4</v>
      </c>
      <c r="G13" s="98">
        <v>4.32889E-4</v>
      </c>
      <c r="H13" s="98">
        <v>5.0156300000000001E-4</v>
      </c>
      <c r="I13" s="98">
        <v>9.6273799999999998E-4</v>
      </c>
      <c r="J13" s="98">
        <v>1.5083800000000001E-4</v>
      </c>
      <c r="K13" s="98">
        <v>7.7463300000000005E-4</v>
      </c>
      <c r="L13" s="98">
        <v>7.2535999999999998E-5</v>
      </c>
      <c r="M13" s="98">
        <v>1.8676002389999999</v>
      </c>
      <c r="N13" s="98">
        <v>6.0559000000000001E-5</v>
      </c>
      <c r="O13" s="98">
        <v>3.8385699999999998E-4</v>
      </c>
      <c r="P13" s="98">
        <v>4.0880000000000002E-5</v>
      </c>
      <c r="Q13" s="98">
        <v>5.8999999999999999E-8</v>
      </c>
      <c r="R13" s="98">
        <v>2.8107799999999998E-4</v>
      </c>
      <c r="S13" s="98">
        <v>7.0607999999999999E-5</v>
      </c>
      <c r="T13" s="98">
        <v>1.1728579999999999E-3</v>
      </c>
      <c r="U13" s="98">
        <v>3.5020630000000001E-3</v>
      </c>
      <c r="V13" s="98">
        <v>3.50396E-4</v>
      </c>
      <c r="W13" s="98">
        <v>2.55123E-4</v>
      </c>
      <c r="X13" s="98">
        <v>8.1685500000000001E-4</v>
      </c>
      <c r="Y13" s="98">
        <v>1.9921899999999999E-4</v>
      </c>
      <c r="Z13" s="98">
        <v>8.3937599999999997E-4</v>
      </c>
      <c r="AA13" s="98">
        <v>2.6009999999999998E-4</v>
      </c>
      <c r="AB13" s="98">
        <v>5.0322476600000003</v>
      </c>
      <c r="AC13" s="98">
        <v>3.2068939059999999</v>
      </c>
      <c r="AD13" s="98">
        <v>25.814435376999999</v>
      </c>
      <c r="AE13" s="98">
        <v>1.6160549999999999E-3</v>
      </c>
      <c r="AF13" s="98">
        <v>3.8476E-4</v>
      </c>
      <c r="AG13" s="98">
        <v>3.3578589999999999E-3</v>
      </c>
      <c r="AH13" s="98">
        <v>13.860382977</v>
      </c>
      <c r="AI13" s="98">
        <v>5.9197099999999995E-4</v>
      </c>
      <c r="AJ13" s="98">
        <v>5.8381999999999998E-5</v>
      </c>
      <c r="AK13" s="98">
        <v>1.8467000000000001E-5</v>
      </c>
      <c r="AL13" s="98">
        <v>7.2789399999999998E-4</v>
      </c>
      <c r="AM13" s="98">
        <v>4.8724999999999999E-5</v>
      </c>
      <c r="AN13" s="98">
        <v>3.9784999999999999E-5</v>
      </c>
      <c r="AO13" s="98">
        <v>2.398374E-3</v>
      </c>
      <c r="AP13" s="98">
        <v>3.5725399999999999E-4</v>
      </c>
      <c r="AQ13" s="98">
        <v>2.9484462999999999E-2</v>
      </c>
      <c r="AR13" s="98">
        <v>1.1254699999999999E-3</v>
      </c>
      <c r="AS13" s="98">
        <v>1.62237E-4</v>
      </c>
      <c r="AT13" s="98">
        <v>2.4870099999999999E-4</v>
      </c>
      <c r="AU13" s="98">
        <v>5.1449999999999999E-6</v>
      </c>
      <c r="AV13" s="98">
        <v>2.5747699999999999E-4</v>
      </c>
      <c r="AW13" s="98">
        <v>1.855127E-3</v>
      </c>
      <c r="AX13" s="98">
        <v>1.2008E-4</v>
      </c>
      <c r="AY13" s="98">
        <v>1.1184E-5</v>
      </c>
      <c r="AZ13" s="98">
        <v>4.2502700000000002E-4</v>
      </c>
      <c r="BA13" s="98">
        <v>4.4383900000000004E-3</v>
      </c>
      <c r="BB13" s="98">
        <v>6.8917900000000005E-4</v>
      </c>
      <c r="BC13" s="98">
        <v>0.49809383299999999</v>
      </c>
      <c r="BD13" s="98">
        <v>0.17108867899999999</v>
      </c>
      <c r="BE13" s="98">
        <v>1.3175000000000001E-3</v>
      </c>
      <c r="BF13" s="98">
        <v>3.2750913E-2</v>
      </c>
      <c r="BG13" s="98">
        <v>0</v>
      </c>
      <c r="BH13" s="98">
        <v>0</v>
      </c>
      <c r="BI13" s="98">
        <v>0</v>
      </c>
      <c r="BJ13" s="98">
        <v>0</v>
      </c>
      <c r="BK13" s="98">
        <v>1.9980451999999999E-2</v>
      </c>
      <c r="BL13" s="98">
        <v>1.61E-7</v>
      </c>
      <c r="BM13" s="98">
        <v>5.0396855999999997E-2</v>
      </c>
      <c r="BN13" s="98">
        <v>0</v>
      </c>
      <c r="BO13" s="98">
        <v>0</v>
      </c>
      <c r="BP13" s="98">
        <v>0</v>
      </c>
      <c r="BQ13" s="98">
        <v>0</v>
      </c>
      <c r="BR13" s="98">
        <v>0</v>
      </c>
      <c r="BS13" s="98">
        <v>0</v>
      </c>
      <c r="BT13" s="98">
        <v>0.28502019099999998</v>
      </c>
      <c r="BU13" s="98">
        <v>0</v>
      </c>
      <c r="BV13" s="98">
        <v>0</v>
      </c>
      <c r="BW13" s="82">
        <v>0</v>
      </c>
      <c r="BX13" s="100"/>
    </row>
    <row r="14" spans="1:76">
      <c r="A14" s="101" t="s">
        <v>830</v>
      </c>
      <c r="B14" s="98">
        <v>0.193345354</v>
      </c>
      <c r="C14" s="98">
        <v>6.1154000000000004E-5</v>
      </c>
      <c r="D14" s="98">
        <v>3.6203179000000002E-2</v>
      </c>
      <c r="E14" s="98">
        <v>0.54638585200000001</v>
      </c>
      <c r="F14" s="98">
        <v>3.5302710000000001E-2</v>
      </c>
      <c r="G14" s="98">
        <v>2.29305E-3</v>
      </c>
      <c r="H14" s="98">
        <v>5.9909299999999998E-4</v>
      </c>
      <c r="I14" s="98">
        <v>0.54285830700000004</v>
      </c>
      <c r="J14" s="98">
        <v>0.13704174399999999</v>
      </c>
      <c r="K14" s="98">
        <v>1.7506193779999999</v>
      </c>
      <c r="L14" s="98">
        <v>4.7726709999999999E-2</v>
      </c>
      <c r="M14" s="98">
        <v>1.0840260000000001E-3</v>
      </c>
      <c r="N14" s="98">
        <v>11.119822799</v>
      </c>
      <c r="O14" s="98">
        <v>5.6935777E-2</v>
      </c>
      <c r="P14" s="98">
        <v>1.3797448800000001</v>
      </c>
      <c r="Q14" s="98">
        <v>3.8347099999999997E-4</v>
      </c>
      <c r="R14" s="98">
        <v>2.1185600000000001E-4</v>
      </c>
      <c r="S14" s="98">
        <v>0.40692574500000001</v>
      </c>
      <c r="T14" s="98">
        <v>3.033121934</v>
      </c>
      <c r="U14" s="98">
        <v>8.8826154749999997</v>
      </c>
      <c r="V14" s="98">
        <v>1.051833982</v>
      </c>
      <c r="W14" s="98">
        <v>0.87814660099999997</v>
      </c>
      <c r="X14" s="98">
        <v>3.826454E-3</v>
      </c>
      <c r="Y14" s="98">
        <v>1.541663048</v>
      </c>
      <c r="Z14" s="98">
        <v>5.9393604419999999</v>
      </c>
      <c r="AA14" s="98">
        <v>2.0510655010000001</v>
      </c>
      <c r="AB14" s="98">
        <v>7.019862E-3</v>
      </c>
      <c r="AC14" s="98">
        <v>7.3678199999999995E-4</v>
      </c>
      <c r="AD14" s="98">
        <v>0.98411554400000001</v>
      </c>
      <c r="AE14" s="98">
        <v>258.19274200000001</v>
      </c>
      <c r="AF14" s="98">
        <v>1.580858696</v>
      </c>
      <c r="AG14" s="98">
        <v>3.008868E-3</v>
      </c>
      <c r="AH14" s="98">
        <v>26.206323932</v>
      </c>
      <c r="AI14" s="98">
        <v>14.072301470999999</v>
      </c>
      <c r="AJ14" s="98">
        <v>0.60240515900000002</v>
      </c>
      <c r="AK14" s="98">
        <v>0.12137508700000001</v>
      </c>
      <c r="AL14" s="98">
        <v>0.56097424399999996</v>
      </c>
      <c r="AM14" s="98">
        <v>1.6033E-5</v>
      </c>
      <c r="AN14" s="98">
        <v>2.3979031000000001E-2</v>
      </c>
      <c r="AO14" s="98">
        <v>1.584364E-3</v>
      </c>
      <c r="AP14" s="98">
        <v>0.10222584699999999</v>
      </c>
      <c r="AQ14" s="98">
        <v>10.48294454</v>
      </c>
      <c r="AR14" s="98">
        <v>5.2285600000000004E-4</v>
      </c>
      <c r="AS14" s="98">
        <v>1.01771E-4</v>
      </c>
      <c r="AT14" s="98">
        <v>1.08498E-4</v>
      </c>
      <c r="AU14" s="98">
        <v>44.984116010999998</v>
      </c>
      <c r="AV14" s="98">
        <v>3.9888653000000003E-2</v>
      </c>
      <c r="AW14" s="98">
        <v>4.5749689000000003E-2</v>
      </c>
      <c r="AX14" s="98">
        <v>3.1684735999999998E-2</v>
      </c>
      <c r="AY14" s="98">
        <v>9.288279E-3</v>
      </c>
      <c r="AZ14" s="98">
        <v>2.2347629999999999E-3</v>
      </c>
      <c r="BA14" s="98">
        <v>2.10096E-4</v>
      </c>
      <c r="BB14" s="98">
        <v>1.3380484999999999E-2</v>
      </c>
      <c r="BC14" s="98">
        <v>8.0040442659999993</v>
      </c>
      <c r="BD14" s="98">
        <v>10.243923664</v>
      </c>
      <c r="BE14" s="98">
        <v>0.61645218199999996</v>
      </c>
      <c r="BF14" s="98">
        <v>0.30393526300000001</v>
      </c>
      <c r="BG14" s="98">
        <v>0</v>
      </c>
      <c r="BH14" s="98">
        <v>0</v>
      </c>
      <c r="BI14" s="98">
        <v>0</v>
      </c>
      <c r="BJ14" s="98">
        <v>0</v>
      </c>
      <c r="BK14" s="98">
        <v>45.351486555999998</v>
      </c>
      <c r="BL14" s="98">
        <v>3.1229999999999997E-5</v>
      </c>
      <c r="BM14" s="98">
        <v>1.8026474000000001E-2</v>
      </c>
      <c r="BN14" s="98">
        <v>0</v>
      </c>
      <c r="BO14" s="98">
        <v>0</v>
      </c>
      <c r="BP14" s="98">
        <v>0</v>
      </c>
      <c r="BQ14" s="98">
        <v>0</v>
      </c>
      <c r="BR14" s="98">
        <v>0</v>
      </c>
      <c r="BS14" s="98">
        <v>0</v>
      </c>
      <c r="BT14" s="98">
        <v>10.018447547999999</v>
      </c>
      <c r="BU14" s="98">
        <v>0</v>
      </c>
      <c r="BV14" s="98">
        <v>0</v>
      </c>
      <c r="BW14" s="82">
        <v>0</v>
      </c>
      <c r="BX14" s="100"/>
    </row>
    <row r="15" spans="1:76">
      <c r="A15" s="101" t="s">
        <v>831</v>
      </c>
      <c r="B15" s="98">
        <v>2.4570080000000001E-3</v>
      </c>
      <c r="C15" s="98">
        <v>1.3799999999999999E-7</v>
      </c>
      <c r="D15" s="98">
        <v>7.6660000000000001E-5</v>
      </c>
      <c r="E15" s="98">
        <v>2.7648199999999999E-4</v>
      </c>
      <c r="F15" s="98">
        <v>2.4725499999999999E-4</v>
      </c>
      <c r="G15" s="98">
        <v>6.0790699999999998E-4</v>
      </c>
      <c r="H15" s="98">
        <v>7.6379499999999995E-4</v>
      </c>
      <c r="I15" s="98">
        <v>7.4951200000000003E-4</v>
      </c>
      <c r="J15" s="98">
        <v>3.5365288349999999</v>
      </c>
      <c r="K15" s="98">
        <v>45.286459422999997</v>
      </c>
      <c r="L15" s="98">
        <v>1.232361826</v>
      </c>
      <c r="M15" s="98">
        <v>2.7493024000000001E-2</v>
      </c>
      <c r="N15" s="98">
        <v>9.9105999999999996E-5</v>
      </c>
      <c r="O15" s="98">
        <v>36.660819179999997</v>
      </c>
      <c r="P15" s="98">
        <v>2.9700000000000003E-7</v>
      </c>
      <c r="Q15" s="98">
        <v>5.0000000000000001E-9</v>
      </c>
      <c r="R15" s="98">
        <v>8.9999999999999995E-9</v>
      </c>
      <c r="S15" s="98">
        <v>3.9400000000000001E-7</v>
      </c>
      <c r="T15" s="98">
        <v>2.8570079999999999E-3</v>
      </c>
      <c r="U15" s="98">
        <v>8.2981519999999996E-3</v>
      </c>
      <c r="V15" s="98">
        <v>2.3125685E-2</v>
      </c>
      <c r="W15" s="98">
        <v>1.2988850000000001E-3</v>
      </c>
      <c r="X15" s="98">
        <v>1.9618769999999999E-3</v>
      </c>
      <c r="Y15" s="98">
        <v>4.282424E-3</v>
      </c>
      <c r="Z15" s="98">
        <v>1317.6225764000001</v>
      </c>
      <c r="AA15" s="98">
        <v>5.2791199999999996E-4</v>
      </c>
      <c r="AB15" s="98">
        <v>8.0003E-5</v>
      </c>
      <c r="AC15" s="98">
        <v>1.61461E-4</v>
      </c>
      <c r="AD15" s="98">
        <v>4.6020000000000003E-5</v>
      </c>
      <c r="AE15" s="98">
        <v>1.0982850000000001E-3</v>
      </c>
      <c r="AF15" s="98">
        <v>1.2170700000000001E-4</v>
      </c>
      <c r="AG15" s="98">
        <v>1.0189999999999999E-6</v>
      </c>
      <c r="AH15" s="98">
        <v>5.4472780299999997</v>
      </c>
      <c r="AI15" s="98">
        <v>2.1007925E-2</v>
      </c>
      <c r="AJ15" s="98">
        <v>8.7000000000000003E-7</v>
      </c>
      <c r="AK15" s="98">
        <v>1.2929999999999999E-6</v>
      </c>
      <c r="AL15" s="98">
        <v>2.7599999999999998E-6</v>
      </c>
      <c r="AM15" s="98">
        <v>3.0899999999999997E-7</v>
      </c>
      <c r="AN15" s="98">
        <v>2.6100000000000002E-7</v>
      </c>
      <c r="AO15" s="98">
        <v>2.4839999999999998E-6</v>
      </c>
      <c r="AP15" s="98">
        <v>1.511E-6</v>
      </c>
      <c r="AQ15" s="98">
        <v>3.0647187050000002</v>
      </c>
      <c r="AR15" s="98">
        <v>3.625E-6</v>
      </c>
      <c r="AS15" s="98">
        <v>2.1720000000000001E-6</v>
      </c>
      <c r="AT15" s="98">
        <v>3.5100000000000001E-7</v>
      </c>
      <c r="AU15" s="98">
        <v>1.7002200000000001E-4</v>
      </c>
      <c r="AV15" s="98">
        <v>6.0893414E-2</v>
      </c>
      <c r="AW15" s="98">
        <v>2.3256000000000001E-4</v>
      </c>
      <c r="AX15" s="98">
        <v>1.06328E-4</v>
      </c>
      <c r="AY15" s="98">
        <v>1.5850000000000001E-6</v>
      </c>
      <c r="AZ15" s="98">
        <v>4.6000000000000002E-8</v>
      </c>
      <c r="BA15" s="98">
        <v>1.4890000000000001E-6</v>
      </c>
      <c r="BB15" s="98">
        <v>2.0699999999999999E-7</v>
      </c>
      <c r="BC15" s="98">
        <v>29.385318454</v>
      </c>
      <c r="BD15" s="98">
        <v>249.16639964999999</v>
      </c>
      <c r="BE15" s="98">
        <v>5.4900450310000002</v>
      </c>
      <c r="BF15" s="98">
        <v>7.4532151469999999</v>
      </c>
      <c r="BG15" s="98">
        <v>0</v>
      </c>
      <c r="BH15" s="98">
        <v>0</v>
      </c>
      <c r="BI15" s="98">
        <v>0</v>
      </c>
      <c r="BJ15" s="98">
        <v>0</v>
      </c>
      <c r="BK15" s="98">
        <v>864.15709062999997</v>
      </c>
      <c r="BL15" s="98">
        <v>2.7555E-5</v>
      </c>
      <c r="BM15" s="98">
        <v>3.5753999999999997E-5</v>
      </c>
      <c r="BN15" s="98">
        <v>0</v>
      </c>
      <c r="BO15" s="98">
        <v>0</v>
      </c>
      <c r="BP15" s="98">
        <v>0</v>
      </c>
      <c r="BQ15" s="98">
        <v>0</v>
      </c>
      <c r="BR15" s="98">
        <v>0</v>
      </c>
      <c r="BS15" s="98">
        <v>0</v>
      </c>
      <c r="BT15" s="98">
        <v>128.45934160900001</v>
      </c>
      <c r="BU15" s="98">
        <v>0</v>
      </c>
      <c r="BV15" s="98">
        <v>0</v>
      </c>
      <c r="BW15" s="82">
        <v>0</v>
      </c>
      <c r="BX15" s="100"/>
    </row>
    <row r="16" spans="1:76">
      <c r="A16" s="101" t="s">
        <v>23</v>
      </c>
      <c r="B16" s="98">
        <v>3.078E-6</v>
      </c>
      <c r="C16" s="98">
        <v>1.7853562369999999E-10</v>
      </c>
      <c r="D16" s="98">
        <v>9.8000000000000004E-8</v>
      </c>
      <c r="E16" s="98">
        <v>2.15956E-4</v>
      </c>
      <c r="F16" s="98">
        <v>6.7109999999999998E-6</v>
      </c>
      <c r="G16" s="98">
        <v>7.1900000000000002E-7</v>
      </c>
      <c r="H16" s="98">
        <v>9.3699999999999999E-7</v>
      </c>
      <c r="I16" s="98">
        <v>1.05912E-4</v>
      </c>
      <c r="J16" s="98">
        <v>3.9999999999999998E-6</v>
      </c>
      <c r="K16" s="98">
        <v>6.4374000000000004E-5</v>
      </c>
      <c r="L16" s="98">
        <v>1.7349999999999999E-6</v>
      </c>
      <c r="M16" s="98">
        <v>3.8999999999999998E-8</v>
      </c>
      <c r="N16" s="98">
        <v>8.0699999999999996E-7</v>
      </c>
      <c r="O16" s="98">
        <v>4.1444499999999999E-4</v>
      </c>
      <c r="P16" s="98">
        <v>4.3971999999999998E-5</v>
      </c>
      <c r="Q16" s="98">
        <v>2.3972999999999999E-5</v>
      </c>
      <c r="R16" s="98">
        <v>1.50607E-4</v>
      </c>
      <c r="S16" s="98">
        <v>0.245727115</v>
      </c>
      <c r="T16" s="98">
        <v>0.35697958600000002</v>
      </c>
      <c r="U16" s="98">
        <v>1.2051833009999999</v>
      </c>
      <c r="V16" s="98">
        <v>3.9353723E-2</v>
      </c>
      <c r="W16" s="98">
        <v>0.11984273400000001</v>
      </c>
      <c r="X16" s="98">
        <v>4.0228240000000004E-3</v>
      </c>
      <c r="Y16" s="98">
        <v>1.1067015229999999</v>
      </c>
      <c r="Z16" s="98">
        <v>4.2933228039999998</v>
      </c>
      <c r="AA16" s="98">
        <v>1.4987549060000001</v>
      </c>
      <c r="AB16" s="98">
        <v>1.9274609000000002E-2</v>
      </c>
      <c r="AC16" s="98">
        <v>7.1458000000000006E-5</v>
      </c>
      <c r="AD16" s="98">
        <v>4.7057990000000001E-3</v>
      </c>
      <c r="AE16" s="98">
        <v>1.3399336E-2</v>
      </c>
      <c r="AF16" s="98">
        <v>28.158441069999999</v>
      </c>
      <c r="AG16" s="98">
        <v>1.7576399999999999E-4</v>
      </c>
      <c r="AH16" s="98">
        <v>2.9959972540000002</v>
      </c>
      <c r="AI16" s="98">
        <v>138.30471499999999</v>
      </c>
      <c r="AJ16" s="98">
        <v>0.52071527799999995</v>
      </c>
      <c r="AK16" s="98">
        <v>3.3374324999999998</v>
      </c>
      <c r="AL16" s="98">
        <v>2.3051600000000001E-3</v>
      </c>
      <c r="AM16" s="98">
        <v>2.8428592350000002</v>
      </c>
      <c r="AN16" s="98">
        <v>0.187412153</v>
      </c>
      <c r="AO16" s="98">
        <v>1.1042503E-2</v>
      </c>
      <c r="AP16" s="98">
        <v>3.3721058999999998E-2</v>
      </c>
      <c r="AQ16" s="98">
        <v>1.1679083999999999E-2</v>
      </c>
      <c r="AR16" s="98">
        <v>227.569660564</v>
      </c>
      <c r="AS16" s="98">
        <v>3.393774E-3</v>
      </c>
      <c r="AT16" s="98">
        <v>1.484174E-3</v>
      </c>
      <c r="AU16" s="98">
        <v>0.29862003500000001</v>
      </c>
      <c r="AV16" s="98">
        <v>4.0661000000000003E-5</v>
      </c>
      <c r="AW16" s="98">
        <v>2.0664000000000001E-5</v>
      </c>
      <c r="AX16" s="98">
        <v>4.0840000000000002E-6</v>
      </c>
      <c r="AY16" s="98">
        <v>5.2270000000000001E-6</v>
      </c>
      <c r="AZ16" s="98">
        <v>3.596E-6</v>
      </c>
      <c r="BA16" s="98">
        <v>1.0279999999999999E-6</v>
      </c>
      <c r="BB16" s="98">
        <v>3.58E-7</v>
      </c>
      <c r="BC16" s="98">
        <v>1.955909E-3</v>
      </c>
      <c r="BD16" s="98">
        <v>1.1822946000000001E-2</v>
      </c>
      <c r="BE16" s="98">
        <v>1.8542999999999999E-4</v>
      </c>
      <c r="BF16" s="98">
        <v>5.4453000000000001E-3</v>
      </c>
      <c r="BG16" s="98">
        <v>0</v>
      </c>
      <c r="BH16" s="98">
        <v>0</v>
      </c>
      <c r="BI16" s="98">
        <v>0</v>
      </c>
      <c r="BJ16" s="98">
        <v>0</v>
      </c>
      <c r="BK16" s="98">
        <v>1.0138510000000001E-3</v>
      </c>
      <c r="BL16" s="98">
        <v>4.0000000000000002E-9</v>
      </c>
      <c r="BM16" s="98">
        <v>2.2399999999999999E-7</v>
      </c>
      <c r="BN16" s="98">
        <v>0</v>
      </c>
      <c r="BO16" s="98">
        <v>0</v>
      </c>
      <c r="BP16" s="98">
        <v>0</v>
      </c>
      <c r="BQ16" s="98">
        <v>0</v>
      </c>
      <c r="BR16" s="98">
        <v>0</v>
      </c>
      <c r="BS16" s="98">
        <v>0</v>
      </c>
      <c r="BT16" s="98">
        <v>7.4890618000000006E-2</v>
      </c>
      <c r="BU16" s="98">
        <v>0</v>
      </c>
      <c r="BV16" s="98">
        <v>0</v>
      </c>
      <c r="BW16" s="82">
        <v>0</v>
      </c>
      <c r="BX16" s="100"/>
    </row>
    <row r="17" spans="1:76">
      <c r="A17" s="101" t="s">
        <v>832</v>
      </c>
      <c r="B17" s="98">
        <v>1.7E-8</v>
      </c>
      <c r="C17" s="98">
        <v>4.092406409E-12</v>
      </c>
      <c r="D17" s="98">
        <v>8.1082737069999999E-10</v>
      </c>
      <c r="E17" s="98">
        <v>1.099E-6</v>
      </c>
      <c r="F17" s="98">
        <v>5.0000000000000001E-9</v>
      </c>
      <c r="G17" s="98">
        <v>1.4449783730000001E-10</v>
      </c>
      <c r="H17" s="98">
        <v>9.1886824500000004E-11</v>
      </c>
      <c r="I17" s="98">
        <v>3.2000000000000002E-8</v>
      </c>
      <c r="J17" s="98">
        <v>4.3999999999999997E-8</v>
      </c>
      <c r="K17" s="98">
        <v>5.75E-7</v>
      </c>
      <c r="L17" s="98">
        <v>3.4E-8</v>
      </c>
      <c r="M17" s="98">
        <v>3.9869002430000001E-10</v>
      </c>
      <c r="N17" s="98">
        <v>3E-9</v>
      </c>
      <c r="O17" s="98">
        <v>4.1899999999999998E-7</v>
      </c>
      <c r="P17" s="98">
        <v>6.5999999999999995E-8</v>
      </c>
      <c r="Q17" s="98">
        <v>1.4294965999999999E-2</v>
      </c>
      <c r="R17" s="98">
        <v>3.4837010000000001E-3</v>
      </c>
      <c r="S17" s="98">
        <v>1.6E-7</v>
      </c>
      <c r="T17" s="98">
        <v>4.3000000000000001E-8</v>
      </c>
      <c r="U17" s="98">
        <v>1.5800000000000001E-7</v>
      </c>
      <c r="V17" s="98">
        <v>2.1999999999999998E-8</v>
      </c>
      <c r="W17" s="98">
        <v>4.0000000000000002E-9</v>
      </c>
      <c r="X17" s="98">
        <v>4.9599999999999999E-7</v>
      </c>
      <c r="Y17" s="98">
        <v>1.4499999999999999E-7</v>
      </c>
      <c r="Z17" s="98">
        <v>1.6199999999999999E-7</v>
      </c>
      <c r="AA17" s="98">
        <v>1.8900000000000001E-7</v>
      </c>
      <c r="AB17" s="98">
        <v>1.1069999999999999E-6</v>
      </c>
      <c r="AC17" s="98">
        <v>6E-9</v>
      </c>
      <c r="AD17" s="98">
        <v>3.8000000000000001E-7</v>
      </c>
      <c r="AE17" s="98">
        <v>9.8000000000000004E-8</v>
      </c>
      <c r="AF17" s="98">
        <v>8.2900000000000002E-7</v>
      </c>
      <c r="AG17" s="98">
        <v>5009.706115</v>
      </c>
      <c r="AH17" s="98">
        <v>47.993338663999999</v>
      </c>
      <c r="AI17" s="98">
        <v>1.3990000000000001E-6</v>
      </c>
      <c r="AJ17" s="98">
        <v>2.4E-8</v>
      </c>
      <c r="AK17" s="98">
        <v>6E-9</v>
      </c>
      <c r="AL17" s="98">
        <v>1.2599999999999999E-7</v>
      </c>
      <c r="AM17" s="98">
        <v>3E-9</v>
      </c>
      <c r="AN17" s="98">
        <v>1E-8</v>
      </c>
      <c r="AO17" s="98">
        <v>6E-9</v>
      </c>
      <c r="AP17" s="98">
        <v>8.1699999999999997E-7</v>
      </c>
      <c r="AQ17" s="98">
        <v>1.6500000000000001E-7</v>
      </c>
      <c r="AR17" s="98">
        <v>3.8329072999999998E-2</v>
      </c>
      <c r="AS17" s="98">
        <v>5.1578599999999996E-4</v>
      </c>
      <c r="AT17" s="98">
        <v>3.5995999999999999E-5</v>
      </c>
      <c r="AU17" s="98">
        <v>5.9109999999999998E-6</v>
      </c>
      <c r="AV17" s="98">
        <v>2.0100000000000001E-7</v>
      </c>
      <c r="AW17" s="98">
        <v>3.8281000000000002E-5</v>
      </c>
      <c r="AX17" s="98">
        <v>3.388E-6</v>
      </c>
      <c r="AY17" s="98">
        <v>1.8788999999999999E-5</v>
      </c>
      <c r="AZ17" s="98">
        <v>1.4E-8</v>
      </c>
      <c r="BA17" s="98">
        <v>1.4E-8</v>
      </c>
      <c r="BB17" s="98">
        <v>2.0000000000000001E-9</v>
      </c>
      <c r="BC17" s="98">
        <v>4.3059999999999999E-6</v>
      </c>
      <c r="BD17" s="98">
        <v>2.3300000000000001E-7</v>
      </c>
      <c r="BE17" s="98">
        <v>4.2800000000000002E-7</v>
      </c>
      <c r="BF17" s="98">
        <v>1.17E-7</v>
      </c>
      <c r="BG17" s="98">
        <v>0</v>
      </c>
      <c r="BH17" s="98">
        <v>0</v>
      </c>
      <c r="BI17" s="98">
        <v>0</v>
      </c>
      <c r="BJ17" s="98">
        <v>0</v>
      </c>
      <c r="BK17" s="98">
        <v>3.0663100000000003E-4</v>
      </c>
      <c r="BL17" s="98">
        <v>8.9999999999999995E-9</v>
      </c>
      <c r="BM17" s="98">
        <v>6.0847999999999997E-5</v>
      </c>
      <c r="BN17" s="98">
        <v>0</v>
      </c>
      <c r="BO17" s="98">
        <v>0</v>
      </c>
      <c r="BP17" s="98">
        <v>0</v>
      </c>
      <c r="BQ17" s="98">
        <v>0</v>
      </c>
      <c r="BR17" s="98">
        <v>0</v>
      </c>
      <c r="BS17" s="98">
        <v>0</v>
      </c>
      <c r="BT17" s="98">
        <v>143.86053897299999</v>
      </c>
      <c r="BU17" s="98">
        <v>0</v>
      </c>
      <c r="BV17" s="98">
        <v>0</v>
      </c>
      <c r="BW17" s="82">
        <v>0</v>
      </c>
      <c r="BX17" s="100"/>
    </row>
    <row r="18" spans="1:76">
      <c r="A18" s="101" t="s">
        <v>833</v>
      </c>
      <c r="B18" s="98">
        <v>1.7269999999999999E-6</v>
      </c>
      <c r="C18" s="98">
        <v>8.2968995520000003E-10</v>
      </c>
      <c r="D18" s="98">
        <v>1.8E-7</v>
      </c>
      <c r="E18" s="98">
        <v>1.829E-6</v>
      </c>
      <c r="F18" s="98">
        <v>2.41E-7</v>
      </c>
      <c r="G18" s="98">
        <v>6.0900000000000001E-7</v>
      </c>
      <c r="H18" s="98">
        <v>5.3499999999999996E-7</v>
      </c>
      <c r="I18" s="98">
        <v>2.069E-6</v>
      </c>
      <c r="J18" s="98">
        <v>1.91E-7</v>
      </c>
      <c r="K18" s="98">
        <v>2.0609999999999998E-6</v>
      </c>
      <c r="L18" s="98">
        <v>1.14E-7</v>
      </c>
      <c r="M18" s="98">
        <v>1.6000000000000001E-8</v>
      </c>
      <c r="N18" s="98">
        <v>8.7700000000000003E-7</v>
      </c>
      <c r="O18" s="98">
        <v>1.0835999999999999E-5</v>
      </c>
      <c r="P18" s="98">
        <v>2.2499999999999999E-7</v>
      </c>
      <c r="Q18" s="98">
        <v>1.4299989999999999E-3</v>
      </c>
      <c r="R18" s="98">
        <v>10.28185203</v>
      </c>
      <c r="S18" s="98">
        <v>1.0386972E-2</v>
      </c>
      <c r="T18" s="98">
        <v>1.1073099999999999E-4</v>
      </c>
      <c r="U18" s="98">
        <v>1.037786E-3</v>
      </c>
      <c r="V18" s="98">
        <v>4.1614899999999999E-4</v>
      </c>
      <c r="W18" s="98">
        <v>2.2173599999999999E-4</v>
      </c>
      <c r="X18" s="98">
        <v>4.1805599999999998E-4</v>
      </c>
      <c r="Y18" s="98">
        <v>1.36298E-4</v>
      </c>
      <c r="Z18" s="98">
        <v>4.1725039999999996E-3</v>
      </c>
      <c r="AA18" s="98">
        <v>6.5017899999999997E-4</v>
      </c>
      <c r="AB18" s="98">
        <v>4.7229900000000003E-4</v>
      </c>
      <c r="AC18" s="98">
        <v>1.8669499999999999E-4</v>
      </c>
      <c r="AD18" s="98">
        <v>1.70075E-4</v>
      </c>
      <c r="AE18" s="98">
        <v>2.021091E-3</v>
      </c>
      <c r="AF18" s="98">
        <v>6.8477529999999998E-3</v>
      </c>
      <c r="AG18" s="98">
        <v>6.697901E-3</v>
      </c>
      <c r="AH18" s="98">
        <v>4.9772956329999998</v>
      </c>
      <c r="AI18" s="98">
        <v>1.748814E-3</v>
      </c>
      <c r="AJ18" s="98">
        <v>5.3964784000000002E-2</v>
      </c>
      <c r="AK18" s="98">
        <v>2.23668E-4</v>
      </c>
      <c r="AL18" s="98">
        <v>2.1421600000000002E-3</v>
      </c>
      <c r="AM18" s="98">
        <v>6.5076300000000004E-3</v>
      </c>
      <c r="AN18" s="98">
        <v>5.41115E-4</v>
      </c>
      <c r="AO18" s="98">
        <v>1.7605030000000001E-3</v>
      </c>
      <c r="AP18" s="98">
        <v>2.936003E-3</v>
      </c>
      <c r="AQ18" s="98">
        <v>2.9312890000000001E-3</v>
      </c>
      <c r="AR18" s="98">
        <v>894.51488693299996</v>
      </c>
      <c r="AS18" s="98">
        <v>75.596193994000004</v>
      </c>
      <c r="AT18" s="98">
        <v>7.4325830000000004E-3</v>
      </c>
      <c r="AU18" s="98">
        <v>7.1550593999999995E-2</v>
      </c>
      <c r="AV18" s="98">
        <v>9.9220699999999994E-4</v>
      </c>
      <c r="AW18" s="98">
        <v>1.3805550000000001E-3</v>
      </c>
      <c r="AX18" s="98">
        <v>9.3839999999999996E-5</v>
      </c>
      <c r="AY18" s="98">
        <v>5.8347300000000004E-4</v>
      </c>
      <c r="AZ18" s="98">
        <v>5.0299999999999999E-7</v>
      </c>
      <c r="BA18" s="98">
        <v>1.173E-6</v>
      </c>
      <c r="BB18" s="98">
        <v>1.17E-7</v>
      </c>
      <c r="BC18" s="98">
        <v>9.9590000000000007E-6</v>
      </c>
      <c r="BD18" s="98">
        <v>2.7131200000000001E-4</v>
      </c>
      <c r="BE18" s="98">
        <v>6.2184E-5</v>
      </c>
      <c r="BF18" s="98">
        <v>6.4966000000000001E-5</v>
      </c>
      <c r="BG18" s="98">
        <v>0</v>
      </c>
      <c r="BH18" s="98">
        <v>0</v>
      </c>
      <c r="BI18" s="98">
        <v>0</v>
      </c>
      <c r="BJ18" s="98">
        <v>0</v>
      </c>
      <c r="BK18" s="98">
        <v>1.5623899999999999E-4</v>
      </c>
      <c r="BL18" s="98">
        <v>7.1190782239999998E-12</v>
      </c>
      <c r="BM18" s="98">
        <v>8.9000000000000003E-8</v>
      </c>
      <c r="BN18" s="98">
        <v>0</v>
      </c>
      <c r="BO18" s="98">
        <v>0</v>
      </c>
      <c r="BP18" s="98">
        <v>0</v>
      </c>
      <c r="BQ18" s="98">
        <v>0</v>
      </c>
      <c r="BR18" s="98">
        <v>0</v>
      </c>
      <c r="BS18" s="98">
        <v>0</v>
      </c>
      <c r="BT18" s="98">
        <v>3.1823945999999999E-2</v>
      </c>
      <c r="BU18" s="98">
        <v>0</v>
      </c>
      <c r="BV18" s="98">
        <v>0</v>
      </c>
      <c r="BW18" s="82">
        <v>0</v>
      </c>
      <c r="BX18" s="100"/>
    </row>
    <row r="19" spans="1:76">
      <c r="A19" s="101" t="s">
        <v>436</v>
      </c>
      <c r="B19" s="98">
        <v>2.174128E-3</v>
      </c>
      <c r="C19" s="98">
        <v>2.8700000000000002E-7</v>
      </c>
      <c r="D19" s="98">
        <v>1.6348600000000001E-4</v>
      </c>
      <c r="E19" s="98">
        <v>1.7362117999999999E-2</v>
      </c>
      <c r="F19" s="98">
        <v>7.2868749999999999E-3</v>
      </c>
      <c r="G19" s="98">
        <v>5.5339099999999997E-4</v>
      </c>
      <c r="H19" s="98">
        <v>6.7399599999999995E-4</v>
      </c>
      <c r="I19" s="98">
        <v>0.10538987599999999</v>
      </c>
      <c r="J19" s="98">
        <v>1.49175E-3</v>
      </c>
      <c r="K19" s="98">
        <v>6.9659860000000004E-3</v>
      </c>
      <c r="L19" s="98">
        <v>3.3686600000000001E-4</v>
      </c>
      <c r="M19" s="98">
        <v>3.5466999999999998E-5</v>
      </c>
      <c r="N19" s="98">
        <v>9.4574000000000006E-5</v>
      </c>
      <c r="O19" s="98">
        <v>0.26744148899999998</v>
      </c>
      <c r="P19" s="98">
        <v>1.8996989999999999E-3</v>
      </c>
      <c r="Q19" s="98">
        <v>0.38661635700000002</v>
      </c>
      <c r="R19" s="98">
        <v>0.18708751000000001</v>
      </c>
      <c r="S19" s="98">
        <v>0.20521782</v>
      </c>
      <c r="T19" s="98">
        <v>6.0928412000000001E-2</v>
      </c>
      <c r="U19" s="98">
        <v>9.1965631000000006E-2</v>
      </c>
      <c r="V19" s="98">
        <v>1.4513471999999999E-2</v>
      </c>
      <c r="W19" s="98">
        <v>8.7349579999999993E-3</v>
      </c>
      <c r="X19" s="98">
        <v>1.2190490999999999E-2</v>
      </c>
      <c r="Y19" s="98">
        <v>0.10788343</v>
      </c>
      <c r="Z19" s="98">
        <v>2.5287257589999999</v>
      </c>
      <c r="AA19" s="98">
        <v>0.163650138</v>
      </c>
      <c r="AB19" s="98">
        <v>1.1498576439999999</v>
      </c>
      <c r="AC19" s="98">
        <v>8.03E-5</v>
      </c>
      <c r="AD19" s="98">
        <v>6.5495131999999998E-2</v>
      </c>
      <c r="AE19" s="98">
        <v>2.1368330000000001E-2</v>
      </c>
      <c r="AF19" s="98">
        <v>8.3458409299999996</v>
      </c>
      <c r="AG19" s="98">
        <v>1.2481891E-2</v>
      </c>
      <c r="AH19" s="98">
        <v>67.381248400000004</v>
      </c>
      <c r="AI19" s="98">
        <v>394.72000200000002</v>
      </c>
      <c r="AJ19" s="98">
        <v>2.2128854659999999</v>
      </c>
      <c r="AK19" s="98">
        <v>177.4945563</v>
      </c>
      <c r="AL19" s="98">
        <v>1.9172666620000001</v>
      </c>
      <c r="AM19" s="98">
        <v>11.72484457</v>
      </c>
      <c r="AN19" s="98">
        <v>0.35383782800000002</v>
      </c>
      <c r="AO19" s="98">
        <v>5.7614430170000004</v>
      </c>
      <c r="AP19" s="98">
        <v>26.012928318</v>
      </c>
      <c r="AQ19" s="98">
        <v>12.868176549999999</v>
      </c>
      <c r="AR19" s="98">
        <v>0.38219292399999999</v>
      </c>
      <c r="AS19" s="98">
        <v>0.18340115500000001</v>
      </c>
      <c r="AT19" s="98">
        <v>0.17307766099999999</v>
      </c>
      <c r="AU19" s="98">
        <v>284.11177067</v>
      </c>
      <c r="AV19" s="98">
        <v>1.7855910999999999E-2</v>
      </c>
      <c r="AW19" s="98">
        <v>2.0711804E-2</v>
      </c>
      <c r="AX19" s="98">
        <v>6.9781920000000002E-3</v>
      </c>
      <c r="AY19" s="98">
        <v>2.5199885000000002E-2</v>
      </c>
      <c r="AZ19" s="98">
        <v>4.5980499999999998E-4</v>
      </c>
      <c r="BA19" s="98">
        <v>1.8643000000000001E-5</v>
      </c>
      <c r="BB19" s="98">
        <v>1.4825600000000001E-4</v>
      </c>
      <c r="BC19" s="98">
        <v>0.14778212800000001</v>
      </c>
      <c r="BD19" s="98">
        <v>0.1011536</v>
      </c>
      <c r="BE19" s="98">
        <v>7.6432949999999996E-3</v>
      </c>
      <c r="BF19" s="98">
        <v>1.3901755E-2</v>
      </c>
      <c r="BG19" s="98">
        <v>0</v>
      </c>
      <c r="BH19" s="98">
        <v>0</v>
      </c>
      <c r="BI19" s="98">
        <v>0</v>
      </c>
      <c r="BJ19" s="98">
        <v>0</v>
      </c>
      <c r="BK19" s="98">
        <v>1.0812769999999999E-2</v>
      </c>
      <c r="BL19" s="98">
        <v>2.8109999999999999E-6</v>
      </c>
      <c r="BM19" s="98">
        <v>5.3485195999999999E-2</v>
      </c>
      <c r="BN19" s="98">
        <v>0</v>
      </c>
      <c r="BO19" s="98">
        <v>0</v>
      </c>
      <c r="BP19" s="98">
        <v>0</v>
      </c>
      <c r="BQ19" s="98">
        <v>0</v>
      </c>
      <c r="BR19" s="98">
        <v>0</v>
      </c>
      <c r="BS19" s="98">
        <v>0</v>
      </c>
      <c r="BT19" s="98">
        <v>54.798890381</v>
      </c>
      <c r="BU19" s="98">
        <v>0</v>
      </c>
      <c r="BV19" s="98">
        <v>0</v>
      </c>
      <c r="BW19" s="82">
        <v>0</v>
      </c>
      <c r="BX19" s="100"/>
    </row>
    <row r="20" spans="1:76">
      <c r="A20" s="101" t="s">
        <v>834</v>
      </c>
      <c r="B20" s="98">
        <v>3.1554920000000002E-3</v>
      </c>
      <c r="C20" s="98">
        <v>1.9299999999999999E-7</v>
      </c>
      <c r="D20" s="98">
        <v>1.09434E-4</v>
      </c>
      <c r="E20" s="98">
        <v>3.9653000000000003E-4</v>
      </c>
      <c r="F20" s="98">
        <v>3.3482299999999999E-4</v>
      </c>
      <c r="G20" s="98">
        <v>8.20683E-4</v>
      </c>
      <c r="H20" s="98">
        <v>9.7400999999999998E-4</v>
      </c>
      <c r="I20" s="98">
        <v>1.013754E-3</v>
      </c>
      <c r="J20" s="98">
        <v>4.2082115000000003E-2</v>
      </c>
      <c r="K20" s="98">
        <v>0.48511687399999998</v>
      </c>
      <c r="L20" s="98">
        <v>2.4706720000000001E-2</v>
      </c>
      <c r="M20" s="98">
        <v>1.51761E-3</v>
      </c>
      <c r="N20" s="98">
        <v>1.2653E-4</v>
      </c>
      <c r="O20" s="98">
        <v>3.9214000000000001E-5</v>
      </c>
      <c r="P20" s="98">
        <v>9.0994000000000003E-5</v>
      </c>
      <c r="Q20" s="98">
        <v>1.2146699999999999E-4</v>
      </c>
      <c r="R20" s="98">
        <v>2.8121500000000002E-4</v>
      </c>
      <c r="S20" s="98">
        <v>1.6072699999999999E-4</v>
      </c>
      <c r="T20" s="98">
        <v>43.532041599999999</v>
      </c>
      <c r="U20" s="98">
        <v>0.390632272</v>
      </c>
      <c r="V20" s="98">
        <v>0.27687567899999999</v>
      </c>
      <c r="W20" s="98">
        <v>1.1404711E-2</v>
      </c>
      <c r="X20" s="98">
        <v>5.339964E-3</v>
      </c>
      <c r="Y20" s="98">
        <v>4.9029800000000001E-4</v>
      </c>
      <c r="Z20" s="98">
        <v>15.978918114000001</v>
      </c>
      <c r="AA20" s="98">
        <v>5.4272311550000003</v>
      </c>
      <c r="AB20" s="98">
        <v>2.3172102E-2</v>
      </c>
      <c r="AC20" s="98">
        <v>1.211328E-3</v>
      </c>
      <c r="AD20" s="98">
        <v>19.038853599999999</v>
      </c>
      <c r="AE20" s="98">
        <v>1.8224479999999999E-3</v>
      </c>
      <c r="AF20" s="98">
        <v>5.8891300000000004E-4</v>
      </c>
      <c r="AG20" s="98">
        <v>1.5719900000000001E-4</v>
      </c>
      <c r="AH20" s="98">
        <v>8.0110100000000007E-3</v>
      </c>
      <c r="AI20" s="98">
        <v>6.7431200000000005E-4</v>
      </c>
      <c r="AJ20" s="98">
        <v>4.5503000000000001E-5</v>
      </c>
      <c r="AK20" s="98">
        <v>3.2048999999999998E-5</v>
      </c>
      <c r="AL20" s="98">
        <v>5.7452800000000004E-4</v>
      </c>
      <c r="AM20" s="98">
        <v>4.2939999999999999E-5</v>
      </c>
      <c r="AN20" s="98">
        <v>5.5581999999999997E-5</v>
      </c>
      <c r="AO20" s="98">
        <v>3.1129529999999999E-3</v>
      </c>
      <c r="AP20" s="98">
        <v>4.06623E-4</v>
      </c>
      <c r="AQ20" s="98">
        <v>17.155615474000001</v>
      </c>
      <c r="AR20" s="98">
        <v>5.9490000000000001E-6</v>
      </c>
      <c r="AS20" s="98">
        <v>2.4679999999999999E-6</v>
      </c>
      <c r="AT20" s="98">
        <v>5.4300000000000003E-7</v>
      </c>
      <c r="AU20" s="98">
        <v>2.8679999999999999E-6</v>
      </c>
      <c r="AV20" s="98">
        <v>0.14304239699999999</v>
      </c>
      <c r="AW20" s="98">
        <v>0.245561363</v>
      </c>
      <c r="AX20" s="98">
        <v>0.11216195</v>
      </c>
      <c r="AY20" s="98">
        <v>3.620065E-3</v>
      </c>
      <c r="AZ20" s="98">
        <v>6.9229999999999996E-6</v>
      </c>
      <c r="BA20" s="98">
        <v>5.0039999999999999E-6</v>
      </c>
      <c r="BB20" s="98">
        <v>1.291E-3</v>
      </c>
      <c r="BC20" s="98">
        <v>15.122135175</v>
      </c>
      <c r="BD20" s="98">
        <v>209.55218876999999</v>
      </c>
      <c r="BE20" s="98">
        <v>3.1298143120000002</v>
      </c>
      <c r="BF20" s="98">
        <v>1.0049287739999999</v>
      </c>
      <c r="BG20" s="98">
        <v>0</v>
      </c>
      <c r="BH20" s="98">
        <v>0</v>
      </c>
      <c r="BI20" s="98">
        <v>0</v>
      </c>
      <c r="BJ20" s="98">
        <v>0</v>
      </c>
      <c r="BK20" s="98">
        <v>220.73263683900001</v>
      </c>
      <c r="BL20" s="98">
        <v>3.1985E-5</v>
      </c>
      <c r="BM20" s="98">
        <v>5.0799999999999996E-6</v>
      </c>
      <c r="BN20" s="98">
        <v>0</v>
      </c>
      <c r="BO20" s="98">
        <v>0</v>
      </c>
      <c r="BP20" s="98">
        <v>0</v>
      </c>
      <c r="BQ20" s="98">
        <v>0</v>
      </c>
      <c r="BR20" s="98">
        <v>0</v>
      </c>
      <c r="BS20" s="98">
        <v>0</v>
      </c>
      <c r="BT20" s="98">
        <v>5.4469469909999999</v>
      </c>
      <c r="BU20" s="98">
        <v>0</v>
      </c>
      <c r="BV20" s="98">
        <v>0</v>
      </c>
      <c r="BW20" s="82">
        <v>0</v>
      </c>
      <c r="BX20" s="100"/>
    </row>
    <row r="21" spans="1:76">
      <c r="A21" s="101" t="s">
        <v>835</v>
      </c>
      <c r="B21" s="98">
        <v>7.0523369999999997E-3</v>
      </c>
      <c r="C21" s="98">
        <v>4.39E-7</v>
      </c>
      <c r="D21" s="98">
        <v>2.4982500000000001E-4</v>
      </c>
      <c r="E21" s="98">
        <v>8.6019199999999997E-4</v>
      </c>
      <c r="F21" s="98">
        <v>7.8333600000000004E-4</v>
      </c>
      <c r="G21" s="98">
        <v>1.903566E-3</v>
      </c>
      <c r="H21" s="98">
        <v>2.2034960000000001E-3</v>
      </c>
      <c r="I21" s="98">
        <v>2.2061099999999998E-3</v>
      </c>
      <c r="J21" s="98">
        <v>0.112493757</v>
      </c>
      <c r="K21" s="98">
        <v>1.2935710840000001</v>
      </c>
      <c r="L21" s="98">
        <v>6.6083042999999994E-2</v>
      </c>
      <c r="M21" s="98">
        <v>4.049731E-3</v>
      </c>
      <c r="N21" s="98">
        <v>1.27465E-4</v>
      </c>
      <c r="O21" s="98">
        <v>9.6922000000000005E-5</v>
      </c>
      <c r="P21" s="98">
        <v>9.6137999999999993E-5</v>
      </c>
      <c r="Q21" s="98">
        <v>1.24597E-4</v>
      </c>
      <c r="R21" s="98">
        <v>2.8506400000000002E-4</v>
      </c>
      <c r="S21" s="98">
        <v>1.64666E-4</v>
      </c>
      <c r="T21" s="98">
        <v>0.36351183100000001</v>
      </c>
      <c r="U21" s="98">
        <v>253.19820161000001</v>
      </c>
      <c r="V21" s="98">
        <v>0.71201721799999995</v>
      </c>
      <c r="W21" s="98">
        <v>0.15321004299999999</v>
      </c>
      <c r="X21" s="98">
        <v>6.0649889999999998E-3</v>
      </c>
      <c r="Y21" s="98">
        <v>5.2735800000000002E-4</v>
      </c>
      <c r="Z21" s="98">
        <v>18.114072652000001</v>
      </c>
      <c r="AA21" s="98">
        <v>14.518495809999999</v>
      </c>
      <c r="AB21" s="98">
        <v>1.5239183999999999E-2</v>
      </c>
      <c r="AC21" s="98">
        <v>1.4920580000000001E-3</v>
      </c>
      <c r="AD21" s="98">
        <v>96.587058999999996</v>
      </c>
      <c r="AE21" s="98">
        <v>2.0822480000000001E-3</v>
      </c>
      <c r="AF21" s="98">
        <v>6.8431000000000004E-4</v>
      </c>
      <c r="AG21" s="98">
        <v>1.6280600000000001E-4</v>
      </c>
      <c r="AH21" s="98">
        <v>7.9254040000000005E-3</v>
      </c>
      <c r="AI21" s="98">
        <v>7.1255799999999996E-4</v>
      </c>
      <c r="AJ21" s="98">
        <v>4.7500000000000003E-5</v>
      </c>
      <c r="AK21" s="98">
        <v>3.3521E-5</v>
      </c>
      <c r="AL21" s="98">
        <v>5.7005599999999999E-4</v>
      </c>
      <c r="AM21" s="98">
        <v>4.2629999999999997E-5</v>
      </c>
      <c r="AN21" s="98">
        <v>5.6039999999999999E-5</v>
      </c>
      <c r="AO21" s="98">
        <v>3.305335E-3</v>
      </c>
      <c r="AP21" s="98">
        <v>4.32683E-4</v>
      </c>
      <c r="AQ21" s="98">
        <v>45.887416127999998</v>
      </c>
      <c r="AR21" s="98">
        <v>8.1370000000000002E-6</v>
      </c>
      <c r="AS21" s="98">
        <v>3.039E-6</v>
      </c>
      <c r="AT21" s="98">
        <v>1.3260000000000001E-6</v>
      </c>
      <c r="AU21" s="98">
        <v>1.0679999999999999E-5</v>
      </c>
      <c r="AV21" s="98">
        <v>0.13814351699999999</v>
      </c>
      <c r="AW21" s="98">
        <v>0.68065737900000001</v>
      </c>
      <c r="AX21" s="98">
        <v>0.305661291</v>
      </c>
      <c r="AY21" s="98">
        <v>1.1633157E-2</v>
      </c>
      <c r="AZ21" s="98">
        <v>1.0540000000000001E-5</v>
      </c>
      <c r="BA21" s="98">
        <v>1.252E-5</v>
      </c>
      <c r="BB21" s="98">
        <v>1.7790429999999999E-3</v>
      </c>
      <c r="BC21" s="98">
        <v>196.73924202000001</v>
      </c>
      <c r="BD21" s="98">
        <v>383.98881145000001</v>
      </c>
      <c r="BE21" s="98">
        <v>8.3546232679999992</v>
      </c>
      <c r="BF21" s="98">
        <v>26.766346350999999</v>
      </c>
      <c r="BG21" s="98">
        <v>0</v>
      </c>
      <c r="BH21" s="98">
        <v>0</v>
      </c>
      <c r="BI21" s="98">
        <v>0</v>
      </c>
      <c r="BJ21" s="98">
        <v>0</v>
      </c>
      <c r="BK21" s="98">
        <v>1452.9813080399999</v>
      </c>
      <c r="BL21" s="98">
        <v>7.0665000000000002E-5</v>
      </c>
      <c r="BM21" s="98">
        <v>5.8080000000000001E-6</v>
      </c>
      <c r="BN21" s="98">
        <v>0</v>
      </c>
      <c r="BO21" s="98">
        <v>0</v>
      </c>
      <c r="BP21" s="98">
        <v>0</v>
      </c>
      <c r="BQ21" s="98">
        <v>0</v>
      </c>
      <c r="BR21" s="98">
        <v>0</v>
      </c>
      <c r="BS21" s="98">
        <v>0</v>
      </c>
      <c r="BT21" s="98">
        <v>1086.6580419019999</v>
      </c>
      <c r="BU21" s="98">
        <v>0</v>
      </c>
      <c r="BV21" s="98">
        <v>0</v>
      </c>
      <c r="BW21" s="82">
        <v>0</v>
      </c>
      <c r="BX21" s="100"/>
    </row>
    <row r="22" spans="1:76">
      <c r="A22" s="101" t="s">
        <v>836</v>
      </c>
      <c r="B22" s="98">
        <v>2.3041950000000002E-3</v>
      </c>
      <c r="C22" s="98">
        <v>1.4700000000000001E-7</v>
      </c>
      <c r="D22" s="98">
        <v>8.1373999999999997E-5</v>
      </c>
      <c r="E22" s="98">
        <v>0.342832262</v>
      </c>
      <c r="F22" s="98">
        <v>1.7453746999999999E-2</v>
      </c>
      <c r="G22" s="98">
        <v>5.8884499999999995E-4</v>
      </c>
      <c r="H22" s="98">
        <v>6.9875099999999995E-4</v>
      </c>
      <c r="I22" s="98">
        <v>0.29823500800000002</v>
      </c>
      <c r="J22" s="98">
        <v>1.2745759999999999E-3</v>
      </c>
      <c r="K22" s="98">
        <v>8.3049309999999998E-3</v>
      </c>
      <c r="L22" s="98">
        <v>3.4394100000000001E-4</v>
      </c>
      <c r="M22" s="98">
        <v>2.7651999999999999E-5</v>
      </c>
      <c r="N22" s="98">
        <v>1.0802399999999999E-4</v>
      </c>
      <c r="O22" s="98">
        <v>2.2509433999999998E-2</v>
      </c>
      <c r="P22" s="98">
        <v>7.1080000000000004E-5</v>
      </c>
      <c r="Q22" s="98">
        <v>9.0381000000000001E-5</v>
      </c>
      <c r="R22" s="98">
        <v>1.98612E-4</v>
      </c>
      <c r="S22" s="98">
        <v>1.1731E-4</v>
      </c>
      <c r="T22" s="98">
        <v>2.928348916</v>
      </c>
      <c r="U22" s="98">
        <v>19.702597245</v>
      </c>
      <c r="V22" s="98">
        <v>180.74608393</v>
      </c>
      <c r="W22" s="98">
        <v>1.5052381960000001</v>
      </c>
      <c r="X22" s="98">
        <v>2.0986633000000001E-2</v>
      </c>
      <c r="Y22" s="98">
        <v>7.5524563669999996</v>
      </c>
      <c r="Z22" s="98">
        <v>111.870718</v>
      </c>
      <c r="AA22" s="98">
        <v>6.1823907169999996</v>
      </c>
      <c r="AB22" s="98">
        <v>1.050402281</v>
      </c>
      <c r="AC22" s="98">
        <v>8.8270000000000004E-6</v>
      </c>
      <c r="AD22" s="98">
        <v>1.4191865E-2</v>
      </c>
      <c r="AE22" s="98">
        <v>1.1185699999999999E-3</v>
      </c>
      <c r="AF22" s="98">
        <v>1.0467619999999999E-3</v>
      </c>
      <c r="AG22" s="98">
        <v>0.76916647100000002</v>
      </c>
      <c r="AH22" s="98">
        <v>67.455350839999994</v>
      </c>
      <c r="AI22" s="98">
        <v>6.9251899999999995E-4</v>
      </c>
      <c r="AJ22" s="98">
        <v>3.7564999999999997E-5</v>
      </c>
      <c r="AK22" s="98">
        <v>1.5409849999999999E-3</v>
      </c>
      <c r="AL22" s="98">
        <v>4.2746499999999997E-4</v>
      </c>
      <c r="AM22" s="98">
        <v>5.8112000000000002E-5</v>
      </c>
      <c r="AN22" s="98">
        <v>5.9441999999999998E-5</v>
      </c>
      <c r="AO22" s="98">
        <v>2.2085080000000001E-3</v>
      </c>
      <c r="AP22" s="98">
        <v>1.0213900000000001E-3</v>
      </c>
      <c r="AQ22" s="98">
        <v>2.503609E-3</v>
      </c>
      <c r="AR22" s="98">
        <v>1.4845400000000001E-4</v>
      </c>
      <c r="AS22" s="98">
        <v>9.9100999999999999E-5</v>
      </c>
      <c r="AT22" s="98">
        <v>4.0499999999999999E-7</v>
      </c>
      <c r="AU22" s="98">
        <v>4.1831E-5</v>
      </c>
      <c r="AV22" s="98">
        <v>1.5115663999999999E-2</v>
      </c>
      <c r="AW22" s="98">
        <v>2.352331E-3</v>
      </c>
      <c r="AX22" s="98">
        <v>6.8909500000000003E-4</v>
      </c>
      <c r="AY22" s="98">
        <v>1.538841E-3</v>
      </c>
      <c r="AZ22" s="98">
        <v>4.967E-6</v>
      </c>
      <c r="BA22" s="98">
        <v>8.1658200000000005E-4</v>
      </c>
      <c r="BB22" s="98">
        <v>1.4722089999999999E-3</v>
      </c>
      <c r="BC22" s="98">
        <v>47.427868410000002</v>
      </c>
      <c r="BD22" s="98">
        <v>43.251318900000001</v>
      </c>
      <c r="BE22" s="98">
        <v>2.7873056620000001</v>
      </c>
      <c r="BF22" s="98">
        <v>4.2801361819999997</v>
      </c>
      <c r="BG22" s="98">
        <v>0</v>
      </c>
      <c r="BH22" s="98">
        <v>0</v>
      </c>
      <c r="BI22" s="98">
        <v>0</v>
      </c>
      <c r="BJ22" s="98">
        <v>0</v>
      </c>
      <c r="BK22" s="98">
        <v>300.07516549000002</v>
      </c>
      <c r="BL22" s="98">
        <v>8.8489999999999995E-6</v>
      </c>
      <c r="BM22" s="98">
        <v>1.7799999999999999E-6</v>
      </c>
      <c r="BN22" s="98">
        <v>0</v>
      </c>
      <c r="BO22" s="98">
        <v>0</v>
      </c>
      <c r="BP22" s="98">
        <v>0</v>
      </c>
      <c r="BQ22" s="98">
        <v>0</v>
      </c>
      <c r="BR22" s="98">
        <v>0</v>
      </c>
      <c r="BS22" s="98">
        <v>0</v>
      </c>
      <c r="BT22" s="98">
        <v>91.284784574</v>
      </c>
      <c r="BU22" s="98">
        <v>0</v>
      </c>
      <c r="BV22" s="98">
        <v>0</v>
      </c>
      <c r="BW22" s="82">
        <v>0</v>
      </c>
      <c r="BX22" s="100"/>
    </row>
    <row r="23" spans="1:76">
      <c r="A23" s="101" t="s">
        <v>837</v>
      </c>
      <c r="B23" s="98">
        <v>2.5289409999999998E-3</v>
      </c>
      <c r="C23" s="98">
        <v>1.6299999999999999E-7</v>
      </c>
      <c r="D23" s="98">
        <v>9.0959999999999996E-5</v>
      </c>
      <c r="E23" s="98">
        <v>3.2236199999999997E-4</v>
      </c>
      <c r="F23" s="98">
        <v>2.6393100000000002E-4</v>
      </c>
      <c r="G23" s="98">
        <v>6.5169700000000002E-4</v>
      </c>
      <c r="H23" s="98">
        <v>7.7888999999999996E-4</v>
      </c>
      <c r="I23" s="98">
        <v>8.16565E-4</v>
      </c>
      <c r="J23" s="98">
        <v>3.8478458E-2</v>
      </c>
      <c r="K23" s="98">
        <v>0.44952836000000002</v>
      </c>
      <c r="L23" s="98">
        <v>2.3640033000000001E-2</v>
      </c>
      <c r="M23" s="98">
        <v>1.194505E-3</v>
      </c>
      <c r="N23" s="98">
        <v>5.5169999999999999E-6</v>
      </c>
      <c r="O23" s="98">
        <v>5.8204399999999996E-3</v>
      </c>
      <c r="P23" s="98">
        <v>1.33101E-4</v>
      </c>
      <c r="Q23" s="98">
        <v>1.2408800000000001E-4</v>
      </c>
      <c r="R23" s="98">
        <v>2.2321900000000001E-4</v>
      </c>
      <c r="S23" s="98">
        <v>1.39491E-4</v>
      </c>
      <c r="T23" s="98">
        <v>0.44263988300000001</v>
      </c>
      <c r="U23" s="98">
        <v>2.9784736199999999</v>
      </c>
      <c r="V23" s="98">
        <v>0.21701066699999999</v>
      </c>
      <c r="W23" s="98">
        <v>94.774700170000003</v>
      </c>
      <c r="X23" s="98">
        <v>7.993511E-3</v>
      </c>
      <c r="Y23" s="98">
        <v>1.7169399999999999E-3</v>
      </c>
      <c r="Z23" s="98">
        <v>8.4295117800000003</v>
      </c>
      <c r="AA23" s="98">
        <v>4.2708191500000003</v>
      </c>
      <c r="AB23" s="98">
        <v>2.7256609999999999E-3</v>
      </c>
      <c r="AC23" s="98">
        <v>1.5926999999999998E-5</v>
      </c>
      <c r="AD23" s="98">
        <v>96.727339799999996</v>
      </c>
      <c r="AE23" s="98">
        <v>9.2532400000000005E-4</v>
      </c>
      <c r="AF23" s="98">
        <v>8.3841999999999999E-4</v>
      </c>
      <c r="AG23" s="98">
        <v>1.9221E-4</v>
      </c>
      <c r="AH23" s="98">
        <v>5.1611080000000002E-3</v>
      </c>
      <c r="AI23" s="98">
        <v>6.7168200000000005E-4</v>
      </c>
      <c r="AJ23" s="98">
        <v>6.1643999999999995E-5</v>
      </c>
      <c r="AK23" s="98">
        <v>3.8470999999999998E-5</v>
      </c>
      <c r="AL23" s="98">
        <v>5.4660500000000003E-4</v>
      </c>
      <c r="AM23" s="98">
        <v>4.1505000000000003E-5</v>
      </c>
      <c r="AN23" s="98">
        <v>6.0844000000000002E-5</v>
      </c>
      <c r="AO23" s="98">
        <v>3.147515E-3</v>
      </c>
      <c r="AP23" s="98">
        <v>6.1804299999999998E-4</v>
      </c>
      <c r="AQ23" s="98">
        <v>13.482204208000001</v>
      </c>
      <c r="AR23" s="98">
        <v>1.6596499999999999E-4</v>
      </c>
      <c r="AS23" s="98">
        <v>1.28338E-4</v>
      </c>
      <c r="AT23" s="98">
        <v>1.7871299999999999E-4</v>
      </c>
      <c r="AU23" s="98">
        <v>2.3180000000000002E-5</v>
      </c>
      <c r="AV23" s="98">
        <v>6.3863386999999994E-2</v>
      </c>
      <c r="AW23" s="98">
        <v>0.224620458</v>
      </c>
      <c r="AX23" s="98">
        <v>0.101320418</v>
      </c>
      <c r="AY23" s="98">
        <v>2.0061876999999999E-2</v>
      </c>
      <c r="AZ23" s="98">
        <v>7.2150000000000004E-6</v>
      </c>
      <c r="BA23" s="98">
        <v>1.4109680000000001E-3</v>
      </c>
      <c r="BB23" s="98">
        <v>2.3229090000000002E-3</v>
      </c>
      <c r="BC23" s="98">
        <v>21.67021656</v>
      </c>
      <c r="BD23" s="98">
        <v>172.51460280000001</v>
      </c>
      <c r="BE23" s="98">
        <v>2.4963837350000002</v>
      </c>
      <c r="BF23" s="98">
        <v>1.8762246659999999</v>
      </c>
      <c r="BG23" s="98">
        <v>0</v>
      </c>
      <c r="BH23" s="98">
        <v>0</v>
      </c>
      <c r="BI23" s="98">
        <v>0</v>
      </c>
      <c r="BJ23" s="98">
        <v>0</v>
      </c>
      <c r="BK23" s="98">
        <v>209.84516869999999</v>
      </c>
      <c r="BL23" s="98">
        <v>2.7929999999999999E-5</v>
      </c>
      <c r="BM23" s="98">
        <v>4.3599999999999998E-6</v>
      </c>
      <c r="BN23" s="98">
        <v>0</v>
      </c>
      <c r="BO23" s="98">
        <v>0</v>
      </c>
      <c r="BP23" s="98">
        <v>0</v>
      </c>
      <c r="BQ23" s="98">
        <v>0</v>
      </c>
      <c r="BR23" s="98">
        <v>0</v>
      </c>
      <c r="BS23" s="98">
        <v>0</v>
      </c>
      <c r="BT23" s="98">
        <v>87.653431284000007</v>
      </c>
      <c r="BU23" s="98">
        <v>0</v>
      </c>
      <c r="BV23" s="98">
        <v>0</v>
      </c>
      <c r="BW23" s="82">
        <v>0</v>
      </c>
      <c r="BX23" s="100"/>
    </row>
    <row r="24" spans="1:76">
      <c r="A24" s="101" t="s">
        <v>838</v>
      </c>
      <c r="B24" s="98">
        <v>3.0428870000000002E-3</v>
      </c>
      <c r="C24" s="98">
        <v>1.5300000000000001E-7</v>
      </c>
      <c r="D24" s="98">
        <v>9.2070000000000004E-5</v>
      </c>
      <c r="E24" s="98">
        <v>0.12918928700000001</v>
      </c>
      <c r="F24" s="98">
        <v>6.7542940000000001E-3</v>
      </c>
      <c r="G24" s="98">
        <v>7.1196900000000001E-4</v>
      </c>
      <c r="H24" s="98">
        <v>8.3847499999999998E-4</v>
      </c>
      <c r="I24" s="98">
        <v>0.112911857</v>
      </c>
      <c r="J24" s="98">
        <v>20.282090621999998</v>
      </c>
      <c r="K24" s="98">
        <v>233.257289996</v>
      </c>
      <c r="L24" s="98">
        <v>11.913670742000001</v>
      </c>
      <c r="M24" s="98">
        <v>0.71978353799999995</v>
      </c>
      <c r="N24" s="98">
        <v>2.4643180000000001E-3</v>
      </c>
      <c r="O24" s="98">
        <v>4.0400292249999996</v>
      </c>
      <c r="P24" s="98">
        <v>1.08739E-4</v>
      </c>
      <c r="Q24" s="98">
        <v>9.3932999999999997E-5</v>
      </c>
      <c r="R24" s="98">
        <v>2.07183E-4</v>
      </c>
      <c r="S24" s="98">
        <v>1.20324E-4</v>
      </c>
      <c r="T24" s="98">
        <v>0.147772135</v>
      </c>
      <c r="U24" s="98">
        <v>0.99174149199999995</v>
      </c>
      <c r="V24" s="98">
        <v>23.331829971000001</v>
      </c>
      <c r="W24" s="98">
        <v>7.5898999999999994E-2</v>
      </c>
      <c r="X24" s="98">
        <v>4.9972962179999998</v>
      </c>
      <c r="Y24" s="98">
        <v>1.0859763E-2</v>
      </c>
      <c r="Z24" s="98">
        <v>144.48927288799999</v>
      </c>
      <c r="AA24" s="98">
        <v>8.9206286170000002</v>
      </c>
      <c r="AB24" s="98">
        <v>2.5487499999999998E-3</v>
      </c>
      <c r="AC24" s="98">
        <v>1.3675999999999999E-5</v>
      </c>
      <c r="AD24" s="98">
        <v>5.5160599999999995E-4</v>
      </c>
      <c r="AE24" s="98">
        <v>7.3983899999999995E-4</v>
      </c>
      <c r="AF24" s="98">
        <v>4.2781200000000002E-4</v>
      </c>
      <c r="AG24" s="98">
        <v>1.08868E-4</v>
      </c>
      <c r="AH24" s="98">
        <v>0.19760224600000001</v>
      </c>
      <c r="AI24" s="98">
        <v>6.2808231369999996</v>
      </c>
      <c r="AJ24" s="98">
        <v>2.5092E-5</v>
      </c>
      <c r="AK24" s="98">
        <v>2.1027999999999999E-5</v>
      </c>
      <c r="AL24" s="98">
        <v>4.3423000000000002E-4</v>
      </c>
      <c r="AM24" s="98">
        <v>6.3033000000000004E-5</v>
      </c>
      <c r="AN24" s="98">
        <v>4.8069999999999999E-5</v>
      </c>
      <c r="AO24" s="98">
        <v>2.2111169999999999E-3</v>
      </c>
      <c r="AP24" s="98">
        <v>5.2084199999999998E-4</v>
      </c>
      <c r="AQ24" s="98">
        <v>7.52044E-4</v>
      </c>
      <c r="AR24" s="98">
        <v>1.5233400000000001E-4</v>
      </c>
      <c r="AS24" s="98">
        <v>9.7244999999999995E-5</v>
      </c>
      <c r="AT24" s="98">
        <v>1.55647E-4</v>
      </c>
      <c r="AU24" s="98">
        <v>5.1332999999999998E-5</v>
      </c>
      <c r="AV24" s="98">
        <v>1.8266623999999999E-2</v>
      </c>
      <c r="AW24" s="98">
        <v>2.9625400000000003E-4</v>
      </c>
      <c r="AX24" s="98">
        <v>1.2676699999999999E-4</v>
      </c>
      <c r="AY24" s="98">
        <v>2.3772499999999999E-4</v>
      </c>
      <c r="AZ24" s="98">
        <v>2.3441299999999999E-4</v>
      </c>
      <c r="BA24" s="98">
        <v>7.3994600000000001E-4</v>
      </c>
      <c r="BB24" s="98">
        <v>7.5597499999999998E-4</v>
      </c>
      <c r="BC24" s="98">
        <v>4.4443924739999998</v>
      </c>
      <c r="BD24" s="98">
        <v>185.50834519099999</v>
      </c>
      <c r="BE24" s="98">
        <v>9.0498697799999999</v>
      </c>
      <c r="BF24" s="98">
        <v>0.57274127200000002</v>
      </c>
      <c r="BG24" s="98">
        <v>0</v>
      </c>
      <c r="BH24" s="98">
        <v>0</v>
      </c>
      <c r="BI24" s="98">
        <v>0</v>
      </c>
      <c r="BJ24" s="98">
        <v>0</v>
      </c>
      <c r="BK24" s="98">
        <v>1410.11523923</v>
      </c>
      <c r="BL24" s="98">
        <v>3.1984560000000001E-3</v>
      </c>
      <c r="BM24" s="98">
        <v>5.0000000000000001E-9</v>
      </c>
      <c r="BN24" s="98">
        <v>0</v>
      </c>
      <c r="BO24" s="98">
        <v>0</v>
      </c>
      <c r="BP24" s="98">
        <v>0</v>
      </c>
      <c r="BQ24" s="98">
        <v>0</v>
      </c>
      <c r="BR24" s="98">
        <v>0</v>
      </c>
      <c r="BS24" s="98">
        <v>0</v>
      </c>
      <c r="BT24" s="98">
        <v>1647.1981898399999</v>
      </c>
      <c r="BU24" s="98">
        <v>0</v>
      </c>
      <c r="BV24" s="98">
        <v>0</v>
      </c>
      <c r="BW24" s="82">
        <v>0</v>
      </c>
      <c r="BX24" s="100"/>
    </row>
    <row r="25" spans="1:76">
      <c r="A25" s="101" t="s">
        <v>839</v>
      </c>
      <c r="B25" s="98">
        <v>2.7377370000000001E-3</v>
      </c>
      <c r="C25" s="98">
        <v>1.5900000000000001E-7</v>
      </c>
      <c r="D25" s="98">
        <v>9.5160000000000004E-5</v>
      </c>
      <c r="E25" s="98">
        <v>6.2144299999999995E-4</v>
      </c>
      <c r="F25" s="98">
        <v>2.8764799999999999E-4</v>
      </c>
      <c r="G25" s="98">
        <v>6.9260299999999997E-4</v>
      </c>
      <c r="H25" s="98">
        <v>7.8052199999999996E-4</v>
      </c>
      <c r="I25" s="98">
        <v>1.2560080000000001E-3</v>
      </c>
      <c r="J25" s="98">
        <v>8.0051999999999999E-5</v>
      </c>
      <c r="K25" s="98">
        <v>6.0759200000000001E-4</v>
      </c>
      <c r="L25" s="98">
        <v>4.7188000000000003E-5</v>
      </c>
      <c r="M25" s="98">
        <v>2.9706999999999999E-5</v>
      </c>
      <c r="N25" s="98">
        <v>1.25313E-4</v>
      </c>
      <c r="O25" s="98">
        <v>1.3728639000000001E-2</v>
      </c>
      <c r="P25" s="98">
        <v>2.58056E-4</v>
      </c>
      <c r="Q25" s="98">
        <v>2.3252400000000001E-4</v>
      </c>
      <c r="R25" s="98">
        <v>2.10662E-4</v>
      </c>
      <c r="S25" s="98">
        <v>1.3844700000000001E-4</v>
      </c>
      <c r="T25" s="98">
        <v>6.6741684880000003</v>
      </c>
      <c r="U25" s="98">
        <v>44.910621595999999</v>
      </c>
      <c r="V25" s="98">
        <v>1.538944E-3</v>
      </c>
      <c r="W25" s="98">
        <v>3.430686685</v>
      </c>
      <c r="X25" s="98">
        <v>5.0743639E-2</v>
      </c>
      <c r="Y25" s="98">
        <v>20.108096149000001</v>
      </c>
      <c r="Z25" s="98">
        <v>84.324741786000004</v>
      </c>
      <c r="AA25" s="98">
        <v>184.4771069</v>
      </c>
      <c r="AB25" s="98">
        <v>3.1918950000000001E-3</v>
      </c>
      <c r="AC25" s="98">
        <v>2.6125999999999998E-4</v>
      </c>
      <c r="AD25" s="98">
        <v>6.1155300000000003E-4</v>
      </c>
      <c r="AE25" s="98">
        <v>8.9156999999999995E-4</v>
      </c>
      <c r="AF25" s="98">
        <v>29.034483577</v>
      </c>
      <c r="AG25" s="98">
        <v>1.23478E-4</v>
      </c>
      <c r="AH25" s="98">
        <v>11.373652939999999</v>
      </c>
      <c r="AI25" s="98">
        <v>9.7958500000000005E-4</v>
      </c>
      <c r="AJ25" s="98">
        <v>5.0551100000000005E-4</v>
      </c>
      <c r="AK25" s="98">
        <v>1.3718399999999999E-4</v>
      </c>
      <c r="AL25" s="98">
        <v>4.6920099999999998E-4</v>
      </c>
      <c r="AM25" s="98">
        <v>1.2748699999999999E-4</v>
      </c>
      <c r="AN25" s="98">
        <v>6.3169000000000005E-5</v>
      </c>
      <c r="AO25" s="98">
        <v>2.5350939999999999E-3</v>
      </c>
      <c r="AP25" s="98">
        <v>8.1944099999999996E-4</v>
      </c>
      <c r="AQ25" s="98">
        <v>8.7530290000000007E-3</v>
      </c>
      <c r="AR25" s="98">
        <v>8.4419900000000001E-4</v>
      </c>
      <c r="AS25" s="98">
        <v>1.02005E-4</v>
      </c>
      <c r="AT25" s="98">
        <v>1.7564100000000001E-4</v>
      </c>
      <c r="AU25" s="98">
        <v>8.9383999999999997E-5</v>
      </c>
      <c r="AV25" s="98">
        <v>4.6796988999999997E-2</v>
      </c>
      <c r="AW25" s="98">
        <v>0.19218221899999999</v>
      </c>
      <c r="AX25" s="98">
        <v>7.6315355000000001E-2</v>
      </c>
      <c r="AY25" s="98">
        <v>0.15266958999999999</v>
      </c>
      <c r="AZ25" s="98">
        <v>2.9679199999999999E-4</v>
      </c>
      <c r="BA25" s="98">
        <v>9.1261599999999999E-4</v>
      </c>
      <c r="BB25" s="98">
        <v>1.3648309999999999E-3</v>
      </c>
      <c r="BC25" s="98">
        <v>12.43454244</v>
      </c>
      <c r="BD25" s="98">
        <v>15.41155442</v>
      </c>
      <c r="BE25" s="98">
        <v>1.0509651010000001</v>
      </c>
      <c r="BF25" s="98">
        <v>0.44732659499999999</v>
      </c>
      <c r="BG25" s="98">
        <v>0</v>
      </c>
      <c r="BH25" s="98">
        <v>0</v>
      </c>
      <c r="BI25" s="98">
        <v>0</v>
      </c>
      <c r="BJ25" s="98">
        <v>0</v>
      </c>
      <c r="BK25" s="98">
        <v>344.67681521999998</v>
      </c>
      <c r="BL25" s="98">
        <v>1.9228999999999998E-5</v>
      </c>
      <c r="BM25" s="98">
        <v>2.0169999999999998E-5</v>
      </c>
      <c r="BN25" s="98">
        <v>0</v>
      </c>
      <c r="BO25" s="98">
        <v>0</v>
      </c>
      <c r="BP25" s="98">
        <v>0</v>
      </c>
      <c r="BQ25" s="98">
        <v>0</v>
      </c>
      <c r="BR25" s="98">
        <v>0</v>
      </c>
      <c r="BS25" s="98">
        <v>0</v>
      </c>
      <c r="BT25" s="98">
        <v>552.87483581900005</v>
      </c>
      <c r="BU25" s="98">
        <v>0</v>
      </c>
      <c r="BV25" s="98">
        <v>0</v>
      </c>
      <c r="BW25" s="82">
        <v>0</v>
      </c>
      <c r="BX25" s="100"/>
    </row>
    <row r="26" spans="1:76">
      <c r="A26" s="101" t="s">
        <v>840</v>
      </c>
      <c r="B26" s="98">
        <v>2.3111083000000001E-2</v>
      </c>
      <c r="C26" s="98">
        <v>3.5499999999999999E-7</v>
      </c>
      <c r="D26" s="98">
        <v>3.4613100000000001E-4</v>
      </c>
      <c r="E26" s="98">
        <v>9.8084273999999999E-2</v>
      </c>
      <c r="F26" s="98">
        <v>5.5088139999999999E-3</v>
      </c>
      <c r="G26" s="98">
        <v>2.4921090000000002E-3</v>
      </c>
      <c r="H26" s="98">
        <v>1.783282E-3</v>
      </c>
      <c r="I26" s="98">
        <v>9.2167258000000002E-2</v>
      </c>
      <c r="J26" s="98">
        <v>33.386589999999998</v>
      </c>
      <c r="K26" s="98">
        <v>842.12178100000006</v>
      </c>
      <c r="L26" s="98">
        <v>58.844740899999998</v>
      </c>
      <c r="M26" s="98">
        <v>1.21838665</v>
      </c>
      <c r="N26" s="98">
        <v>8.40239E-4</v>
      </c>
      <c r="O26" s="98">
        <v>295.022429085</v>
      </c>
      <c r="P26" s="98">
        <v>3.8419300000000001E-4</v>
      </c>
      <c r="Q26" s="98">
        <v>2.3444399999999999E-4</v>
      </c>
      <c r="R26" s="98">
        <v>2.69704E-4</v>
      </c>
      <c r="S26" s="98">
        <v>2.27533E-4</v>
      </c>
      <c r="T26" s="98">
        <v>0.286484301</v>
      </c>
      <c r="U26" s="98">
        <v>2.121360063</v>
      </c>
      <c r="V26" s="98">
        <v>4.3697907000000001E-2</v>
      </c>
      <c r="W26" s="98">
        <v>36.383384730000003</v>
      </c>
      <c r="X26" s="98">
        <v>0.15885511899999999</v>
      </c>
      <c r="Y26" s="98">
        <v>24.410188689999998</v>
      </c>
      <c r="Z26" s="98">
        <v>1842.5566389999999</v>
      </c>
      <c r="AA26" s="98">
        <v>31.014779868000002</v>
      </c>
      <c r="AB26" s="98">
        <v>26.350117867000002</v>
      </c>
      <c r="AC26" s="98">
        <v>9.0204100000000002E-4</v>
      </c>
      <c r="AD26" s="98">
        <v>4.0973115509999998</v>
      </c>
      <c r="AE26" s="98">
        <v>0.84370810699999998</v>
      </c>
      <c r="AF26" s="98">
        <v>17.144498539000001</v>
      </c>
      <c r="AG26" s="98">
        <v>2.9634300000000002E-4</v>
      </c>
      <c r="AH26" s="98">
        <v>36.859929749000003</v>
      </c>
      <c r="AI26" s="98">
        <v>1.891684E-3</v>
      </c>
      <c r="AJ26" s="98">
        <v>7.1711099999999999E-4</v>
      </c>
      <c r="AK26" s="98">
        <v>1.66897E-4</v>
      </c>
      <c r="AL26" s="98">
        <v>1.512003E-3</v>
      </c>
      <c r="AM26" s="98">
        <v>2.5489600000000001E-4</v>
      </c>
      <c r="AN26" s="98">
        <v>1.6788462000000001E-2</v>
      </c>
      <c r="AO26" s="98">
        <v>0.86857057299999996</v>
      </c>
      <c r="AP26" s="98">
        <v>1.30204E-3</v>
      </c>
      <c r="AQ26" s="98">
        <v>5.9359847E-2</v>
      </c>
      <c r="AR26" s="98">
        <v>7.6871899999999996E-4</v>
      </c>
      <c r="AS26" s="98">
        <v>1.3806199999999999E-4</v>
      </c>
      <c r="AT26" s="98">
        <v>2.3550099999999999E-4</v>
      </c>
      <c r="AU26" s="98">
        <v>8.1740899999999995E-4</v>
      </c>
      <c r="AV26" s="98">
        <v>21.937825428</v>
      </c>
      <c r="AW26" s="98">
        <v>3.7187328009999998</v>
      </c>
      <c r="AX26" s="98">
        <v>1.9398425100000001</v>
      </c>
      <c r="AY26" s="98">
        <v>2.0587751860000001</v>
      </c>
      <c r="AZ26" s="98">
        <v>3.9844099999999998E-4</v>
      </c>
      <c r="BA26" s="98">
        <v>0.89264459799999996</v>
      </c>
      <c r="BB26" s="98">
        <v>1.7117707520000001</v>
      </c>
      <c r="BC26" s="98">
        <v>66.530570999999995</v>
      </c>
      <c r="BD26" s="98">
        <v>420.9131319</v>
      </c>
      <c r="BE26" s="98">
        <v>7.7058552860000002</v>
      </c>
      <c r="BF26" s="98">
        <v>49.940159800000004</v>
      </c>
      <c r="BG26" s="98">
        <v>0</v>
      </c>
      <c r="BH26" s="98">
        <v>0</v>
      </c>
      <c r="BI26" s="98">
        <v>0</v>
      </c>
      <c r="BJ26" s="98">
        <v>0</v>
      </c>
      <c r="BK26" s="98">
        <v>1609.158508</v>
      </c>
      <c r="BL26" s="98">
        <v>1.2776015999999999E-2</v>
      </c>
      <c r="BM26" s="98">
        <v>3.6186999999999998E-5</v>
      </c>
      <c r="BN26" s="98">
        <v>0</v>
      </c>
      <c r="BO26" s="98">
        <v>0</v>
      </c>
      <c r="BP26" s="98">
        <v>0</v>
      </c>
      <c r="BQ26" s="98">
        <v>0</v>
      </c>
      <c r="BR26" s="98">
        <v>0</v>
      </c>
      <c r="BS26" s="98">
        <v>0</v>
      </c>
      <c r="BT26" s="98">
        <v>5466.9152773369997</v>
      </c>
      <c r="BU26" s="98">
        <v>0</v>
      </c>
      <c r="BV26" s="98">
        <v>0</v>
      </c>
      <c r="BW26" s="82">
        <v>0</v>
      </c>
      <c r="BX26" s="100"/>
    </row>
    <row r="27" spans="1:76">
      <c r="A27" s="101" t="s">
        <v>841</v>
      </c>
      <c r="B27" s="98">
        <v>1.0827590999999999E-2</v>
      </c>
      <c r="C27" s="98">
        <v>6.37E-7</v>
      </c>
      <c r="D27" s="98">
        <v>3.59038E-4</v>
      </c>
      <c r="E27" s="98">
        <v>1.252097E-3</v>
      </c>
      <c r="F27" s="98">
        <v>1.196733E-3</v>
      </c>
      <c r="G27" s="98">
        <v>2.8936600000000002E-3</v>
      </c>
      <c r="H27" s="98">
        <v>3.3798779999999998E-3</v>
      </c>
      <c r="I27" s="98">
        <v>3.3903940000000001E-3</v>
      </c>
      <c r="J27" s="98">
        <v>8.0524000000000004E-5</v>
      </c>
      <c r="K27" s="98">
        <v>3.6732799999999999E-4</v>
      </c>
      <c r="L27" s="98">
        <v>4.2586000000000002E-5</v>
      </c>
      <c r="M27" s="98">
        <v>9.6150999999999995E-5</v>
      </c>
      <c r="N27" s="98">
        <v>1.20469E-4</v>
      </c>
      <c r="O27" s="98">
        <v>3.5729641999999999E-2</v>
      </c>
      <c r="P27" s="98">
        <v>2.3088399999999999E-4</v>
      </c>
      <c r="Q27" s="98">
        <v>3.18463E-4</v>
      </c>
      <c r="R27" s="98">
        <v>2.16355E-4</v>
      </c>
      <c r="S27" s="98">
        <v>2.2509400000000001E-4</v>
      </c>
      <c r="T27" s="98">
        <v>4.4108952999999999E-2</v>
      </c>
      <c r="U27" s="98">
        <v>0.29426957999999998</v>
      </c>
      <c r="V27" s="98">
        <v>4.0427743000000002E-2</v>
      </c>
      <c r="W27" s="98">
        <v>2.2528159999999998E-2</v>
      </c>
      <c r="X27" s="98">
        <v>7.7705498999999997E-2</v>
      </c>
      <c r="Y27" s="98">
        <v>1.9788624000000001E-2</v>
      </c>
      <c r="Z27" s="98">
        <v>0.86026018800000004</v>
      </c>
      <c r="AA27" s="98">
        <v>305.35428639999998</v>
      </c>
      <c r="AB27" s="98">
        <v>1.3076924E-2</v>
      </c>
      <c r="AC27" s="98">
        <v>3.8357819999999998E-3</v>
      </c>
      <c r="AD27" s="98">
        <v>2.0422629999999999E-3</v>
      </c>
      <c r="AE27" s="98">
        <v>3.391734E-3</v>
      </c>
      <c r="AF27" s="98">
        <v>2.1364560000000001E-3</v>
      </c>
      <c r="AG27" s="98">
        <v>1.33115E-4</v>
      </c>
      <c r="AH27" s="98">
        <v>1.430123101</v>
      </c>
      <c r="AI27" s="98">
        <v>4.0211680000000003E-3</v>
      </c>
      <c r="AJ27" s="98">
        <v>3.7742199999999998E-4</v>
      </c>
      <c r="AK27" s="98">
        <v>2.4348100000000001E-4</v>
      </c>
      <c r="AL27" s="98">
        <v>4.7918199999999998E-4</v>
      </c>
      <c r="AM27" s="98">
        <v>1.2984439999999999E-3</v>
      </c>
      <c r="AN27" s="98">
        <v>1.9850400000000001E-4</v>
      </c>
      <c r="AO27" s="98">
        <v>1.5222052999999999E-2</v>
      </c>
      <c r="AP27" s="98">
        <v>1.0715377E-2</v>
      </c>
      <c r="AQ27" s="98">
        <v>1.3423669999999999E-3</v>
      </c>
      <c r="AR27" s="98">
        <v>4.3921299999999998E-4</v>
      </c>
      <c r="AS27" s="98">
        <v>2.8224499999999998E-4</v>
      </c>
      <c r="AT27" s="98">
        <v>4.5780199999999999E-4</v>
      </c>
      <c r="AU27" s="98">
        <v>1.683213E-3</v>
      </c>
      <c r="AV27" s="98">
        <v>6.5742662420000002</v>
      </c>
      <c r="AW27" s="98">
        <v>24.399847007999998</v>
      </c>
      <c r="AX27" s="98">
        <v>3.9376565499999998</v>
      </c>
      <c r="AY27" s="98">
        <v>15.724562529</v>
      </c>
      <c r="AZ27" s="98">
        <v>0.22784900699999999</v>
      </c>
      <c r="BA27" s="98">
        <v>2.585268208</v>
      </c>
      <c r="BB27" s="98">
        <v>5.6476391240000003</v>
      </c>
      <c r="BC27" s="98">
        <v>87.376737320000004</v>
      </c>
      <c r="BD27" s="98">
        <v>780.03999852000004</v>
      </c>
      <c r="BE27" s="98">
        <v>0.16675688699999999</v>
      </c>
      <c r="BF27" s="98">
        <v>4.3252328880000004</v>
      </c>
      <c r="BG27" s="98">
        <v>0</v>
      </c>
      <c r="BH27" s="98">
        <v>0</v>
      </c>
      <c r="BI27" s="98">
        <v>0</v>
      </c>
      <c r="BJ27" s="98">
        <v>0</v>
      </c>
      <c r="BK27" s="98">
        <v>3159.70093</v>
      </c>
      <c r="BL27" s="98">
        <v>3.0911000000000003E-5</v>
      </c>
      <c r="BM27" s="98">
        <v>3.2716999999999999E-5</v>
      </c>
      <c r="BN27" s="98">
        <v>0</v>
      </c>
      <c r="BO27" s="98">
        <v>0</v>
      </c>
      <c r="BP27" s="98">
        <v>0</v>
      </c>
      <c r="BQ27" s="98">
        <v>0</v>
      </c>
      <c r="BR27" s="98">
        <v>0</v>
      </c>
      <c r="BS27" s="98">
        <v>0</v>
      </c>
      <c r="BT27" s="98">
        <v>180.64721339499999</v>
      </c>
      <c r="BU27" s="98">
        <v>0</v>
      </c>
      <c r="BV27" s="98">
        <v>0</v>
      </c>
      <c r="BW27" s="82">
        <v>0</v>
      </c>
      <c r="BX27" s="100"/>
    </row>
    <row r="28" spans="1:76">
      <c r="A28" s="101" t="s">
        <v>842</v>
      </c>
      <c r="B28" s="98">
        <v>1.0455230049999999</v>
      </c>
      <c r="C28" s="98">
        <v>3.731121E-3</v>
      </c>
      <c r="D28" s="98">
        <v>2.1945788909999999</v>
      </c>
      <c r="E28" s="98">
        <v>6.404888905</v>
      </c>
      <c r="F28" s="98">
        <v>0.41465928699999999</v>
      </c>
      <c r="G28" s="98">
        <v>8.38545E-4</v>
      </c>
      <c r="H28" s="98">
        <v>1.0687411469999999</v>
      </c>
      <c r="I28" s="98">
        <v>6.3770783809999996</v>
      </c>
      <c r="J28" s="98">
        <v>5.6880106E-2</v>
      </c>
      <c r="K28" s="98">
        <v>0.72726624699999998</v>
      </c>
      <c r="L28" s="98">
        <v>2.0026333E-2</v>
      </c>
      <c r="M28" s="98">
        <v>4.68042E-4</v>
      </c>
      <c r="N28" s="98">
        <v>1.068640104</v>
      </c>
      <c r="O28" s="98">
        <v>1.218186274</v>
      </c>
      <c r="P28" s="98">
        <v>0.13729611</v>
      </c>
      <c r="Q28" s="98">
        <v>3.3217799999999998E-4</v>
      </c>
      <c r="R28" s="98">
        <v>2.1621499999999999E-4</v>
      </c>
      <c r="S28" s="98">
        <v>3.4549018000000001E-2</v>
      </c>
      <c r="T28" s="98">
        <v>0.223676292</v>
      </c>
      <c r="U28" s="98">
        <v>0.65543114999999996</v>
      </c>
      <c r="V28" s="98">
        <v>7.102403593</v>
      </c>
      <c r="W28" s="98">
        <v>6.4770690000000006E-2</v>
      </c>
      <c r="X28" s="98">
        <v>3.725270348</v>
      </c>
      <c r="Y28" s="98">
        <v>5.1214819079999998</v>
      </c>
      <c r="Z28" s="98">
        <v>3.0618250159999998</v>
      </c>
      <c r="AA28" s="98">
        <v>1.574426415</v>
      </c>
      <c r="AB28" s="98">
        <v>3195.4821740000002</v>
      </c>
      <c r="AC28" s="98">
        <v>3870.5622549999998</v>
      </c>
      <c r="AD28" s="98">
        <v>229.8319094</v>
      </c>
      <c r="AE28" s="98">
        <v>8.4431431000000001E-2</v>
      </c>
      <c r="AF28" s="98">
        <v>17.743820408000001</v>
      </c>
      <c r="AG28" s="98">
        <v>0.63464934399999995</v>
      </c>
      <c r="AH28" s="98">
        <v>361.41698500000001</v>
      </c>
      <c r="AI28" s="98">
        <v>4.5968463039999996</v>
      </c>
      <c r="AJ28" s="98">
        <v>0.41752275599999999</v>
      </c>
      <c r="AK28" s="98">
        <v>1.5271100000000001E-4</v>
      </c>
      <c r="AL28" s="98">
        <v>3.7117364770000001</v>
      </c>
      <c r="AM28" s="98">
        <v>24.255219839999999</v>
      </c>
      <c r="AN28" s="98">
        <v>5.1278311949999997</v>
      </c>
      <c r="AO28" s="98">
        <v>34.792298385999999</v>
      </c>
      <c r="AP28" s="98">
        <v>5.6324650470000002</v>
      </c>
      <c r="AQ28" s="98">
        <v>175.57514570000001</v>
      </c>
      <c r="AR28" s="98">
        <v>2.3348950469999998</v>
      </c>
      <c r="AS28" s="98">
        <v>0.38869091900000002</v>
      </c>
      <c r="AT28" s="98">
        <v>0.71113007800000005</v>
      </c>
      <c r="AU28" s="98">
        <v>9.7306778939999994</v>
      </c>
      <c r="AV28" s="98">
        <v>52.938376249000001</v>
      </c>
      <c r="AW28" s="98">
        <v>17.176241599000001</v>
      </c>
      <c r="AX28" s="98">
        <v>7.1996672630000003</v>
      </c>
      <c r="AY28" s="98">
        <v>20.856243083999999</v>
      </c>
      <c r="AZ28" s="98">
        <v>0.58211312999999998</v>
      </c>
      <c r="BA28" s="98">
        <v>10.928842857999999</v>
      </c>
      <c r="BB28" s="98">
        <v>19.537977396999999</v>
      </c>
      <c r="BC28" s="98">
        <v>39.253933699999997</v>
      </c>
      <c r="BD28" s="98">
        <v>96.008196799999993</v>
      </c>
      <c r="BE28" s="98">
        <v>1.5283890760000001</v>
      </c>
      <c r="BF28" s="98">
        <v>6.5860831700000002</v>
      </c>
      <c r="BG28" s="98">
        <v>0</v>
      </c>
      <c r="BH28" s="98">
        <v>0</v>
      </c>
      <c r="BI28" s="98">
        <v>0</v>
      </c>
      <c r="BJ28" s="98">
        <v>0</v>
      </c>
      <c r="BK28" s="98">
        <v>949.77770999999996</v>
      </c>
      <c r="BL28" s="98">
        <v>3.0873400000000002E-4</v>
      </c>
      <c r="BM28" s="98">
        <v>25.901965180000001</v>
      </c>
      <c r="BN28" s="98">
        <v>0</v>
      </c>
      <c r="BO28" s="98">
        <v>0</v>
      </c>
      <c r="BP28" s="98">
        <v>0</v>
      </c>
      <c r="BQ28" s="98">
        <v>0</v>
      </c>
      <c r="BR28" s="98">
        <v>0</v>
      </c>
      <c r="BS28" s="98">
        <v>0</v>
      </c>
      <c r="BT28" s="98">
        <v>3266.2191290790001</v>
      </c>
      <c r="BU28" s="98">
        <v>0</v>
      </c>
      <c r="BV28" s="98">
        <v>0</v>
      </c>
      <c r="BW28" s="82">
        <v>0</v>
      </c>
      <c r="BX28" s="100"/>
    </row>
    <row r="29" spans="1:76">
      <c r="A29" s="101" t="s">
        <v>843</v>
      </c>
      <c r="B29" s="98">
        <v>5.3240579999999996E-3</v>
      </c>
      <c r="C29" s="98">
        <v>2.0900000000000001E-7</v>
      </c>
      <c r="D29" s="98">
        <v>1.17324E-4</v>
      </c>
      <c r="E29" s="98">
        <v>1.0432149999999999E-3</v>
      </c>
      <c r="F29" s="98">
        <v>3.8625999999999998E-4</v>
      </c>
      <c r="G29" s="98">
        <v>9.7503900000000003E-4</v>
      </c>
      <c r="H29" s="98">
        <v>1.111964E-3</v>
      </c>
      <c r="I29" s="98">
        <v>2.127814E-3</v>
      </c>
      <c r="J29" s="98">
        <v>5.5451570000000002E-3</v>
      </c>
      <c r="K29" s="98">
        <v>7.0643428999999994E-2</v>
      </c>
      <c r="L29" s="98">
        <v>1.947685E-3</v>
      </c>
      <c r="M29" s="98">
        <v>7.7793999999999994E-5</v>
      </c>
      <c r="N29" s="98">
        <v>4.89333E-4</v>
      </c>
      <c r="O29" s="98">
        <v>6.583607E-3</v>
      </c>
      <c r="P29" s="98">
        <v>5.7122100000000001E-4</v>
      </c>
      <c r="Q29" s="98">
        <v>5.7303300000000003E-4</v>
      </c>
      <c r="R29" s="98">
        <v>5.3742500000000001E-4</v>
      </c>
      <c r="S29" s="98">
        <v>7.0559099999999999E-4</v>
      </c>
      <c r="T29" s="98">
        <v>0.126970683</v>
      </c>
      <c r="U29" s="98">
        <v>0.372049187</v>
      </c>
      <c r="V29" s="98">
        <v>3.2851330999999998E-2</v>
      </c>
      <c r="W29" s="98">
        <v>3.6907266000000001E-2</v>
      </c>
      <c r="X29" s="98">
        <v>2.9799119999999999E-3</v>
      </c>
      <c r="Y29" s="98">
        <v>6.0608400000000001E-4</v>
      </c>
      <c r="Z29" s="98">
        <v>0.13720871600000001</v>
      </c>
      <c r="AA29" s="98">
        <v>2.9584693959999999</v>
      </c>
      <c r="AB29" s="98">
        <v>43.338854503999997</v>
      </c>
      <c r="AC29" s="98">
        <v>20.010432906999998</v>
      </c>
      <c r="AD29" s="98">
        <v>36.52322616</v>
      </c>
      <c r="AE29" s="98">
        <v>1.1073212000000001E-2</v>
      </c>
      <c r="AF29" s="98">
        <v>2.3844465810000002</v>
      </c>
      <c r="AG29" s="98">
        <v>6.5004800000000003E-3</v>
      </c>
      <c r="AH29" s="98">
        <v>16.428204983000001</v>
      </c>
      <c r="AI29" s="98">
        <v>2.24824643</v>
      </c>
      <c r="AJ29" s="98">
        <v>0.41313730300000001</v>
      </c>
      <c r="AK29" s="98">
        <v>2.5181500000000001E-4</v>
      </c>
      <c r="AL29" s="98">
        <v>3.1309785059999999</v>
      </c>
      <c r="AM29" s="98">
        <v>18.453647725</v>
      </c>
      <c r="AN29" s="98">
        <v>3.043864702</v>
      </c>
      <c r="AO29" s="98">
        <v>10.197896663</v>
      </c>
      <c r="AP29" s="98">
        <v>6.7841203239999999</v>
      </c>
      <c r="AQ29" s="98">
        <v>3.449840842</v>
      </c>
      <c r="AR29" s="98">
        <v>3.2931128200000002</v>
      </c>
      <c r="AS29" s="98">
        <v>0.47948856499999998</v>
      </c>
      <c r="AT29" s="98">
        <v>0.60865986599999999</v>
      </c>
      <c r="AU29" s="98">
        <v>3.3923540000000002E-3</v>
      </c>
      <c r="AV29" s="98">
        <v>61.76014206</v>
      </c>
      <c r="AW29" s="98">
        <v>34.916210593999999</v>
      </c>
      <c r="AX29" s="98">
        <v>7.0322283329999999</v>
      </c>
      <c r="AY29" s="98">
        <v>25.518529112</v>
      </c>
      <c r="AZ29" s="98">
        <v>0.64060903199999997</v>
      </c>
      <c r="BA29" s="98">
        <v>12.398411653</v>
      </c>
      <c r="BB29" s="98">
        <v>5.8854822059999998</v>
      </c>
      <c r="BC29" s="98">
        <v>27.499217768000001</v>
      </c>
      <c r="BD29" s="98">
        <v>51.273012821000002</v>
      </c>
      <c r="BE29" s="98">
        <v>17.120327177</v>
      </c>
      <c r="BF29" s="98">
        <v>2.5144565289999998</v>
      </c>
      <c r="BG29" s="98">
        <v>0</v>
      </c>
      <c r="BH29" s="98">
        <v>0</v>
      </c>
      <c r="BI29" s="98">
        <v>0</v>
      </c>
      <c r="BJ29" s="98">
        <v>0</v>
      </c>
      <c r="BK29" s="98">
        <v>4234.5374730000003</v>
      </c>
      <c r="BL29" s="98">
        <v>1.3905020000000001E-3</v>
      </c>
      <c r="BM29" s="98">
        <v>0.40522375100000002</v>
      </c>
      <c r="BN29" s="98">
        <v>0</v>
      </c>
      <c r="BO29" s="98">
        <v>0</v>
      </c>
      <c r="BP29" s="98">
        <v>0</v>
      </c>
      <c r="BQ29" s="98">
        <v>0</v>
      </c>
      <c r="BR29" s="98">
        <v>0</v>
      </c>
      <c r="BS29" s="98">
        <v>0</v>
      </c>
      <c r="BT29" s="98">
        <v>3221.7171820459998</v>
      </c>
      <c r="BU29" s="98">
        <v>0</v>
      </c>
      <c r="BV29" s="98">
        <v>0</v>
      </c>
      <c r="BW29" s="82">
        <v>0</v>
      </c>
      <c r="BX29" s="100"/>
    </row>
    <row r="30" spans="1:76">
      <c r="A30" s="101" t="s">
        <v>844</v>
      </c>
      <c r="B30" s="98">
        <v>3.2789E-3</v>
      </c>
      <c r="C30" s="98">
        <v>1.6899999999999999E-7</v>
      </c>
      <c r="D30" s="98">
        <v>1.0341899999999999E-4</v>
      </c>
      <c r="E30" s="98">
        <v>4.2182999999999999E-4</v>
      </c>
      <c r="F30" s="98">
        <v>3.0873100000000002E-4</v>
      </c>
      <c r="G30" s="98">
        <v>7.5319600000000003E-4</v>
      </c>
      <c r="H30" s="98">
        <v>9.1871300000000004E-4</v>
      </c>
      <c r="I30" s="98">
        <v>1.510656E-3</v>
      </c>
      <c r="J30" s="98">
        <v>3.9091000000000002E-5</v>
      </c>
      <c r="K30" s="98">
        <v>1.50397E-4</v>
      </c>
      <c r="L30" s="98">
        <v>2.4267E-5</v>
      </c>
      <c r="M30" s="98">
        <v>3.4736000000000001E-5</v>
      </c>
      <c r="N30" s="98">
        <v>6.8259400000000002E-4</v>
      </c>
      <c r="O30" s="98">
        <v>1.8164429999999999E-2</v>
      </c>
      <c r="P30" s="98">
        <v>3.1772700000000002E-4</v>
      </c>
      <c r="Q30" s="98">
        <v>5.7827699999999998E-4</v>
      </c>
      <c r="R30" s="98">
        <v>3.1280199999999999E-4</v>
      </c>
      <c r="S30" s="98">
        <v>2.8489900000000002E-4</v>
      </c>
      <c r="T30" s="98">
        <v>1.1116349999999999E-3</v>
      </c>
      <c r="U30" s="98">
        <v>3.3168210000000002E-3</v>
      </c>
      <c r="V30" s="98">
        <v>9.8523199999999995E-4</v>
      </c>
      <c r="W30" s="98">
        <v>1.34237E-4</v>
      </c>
      <c r="X30" s="98">
        <v>1.994825E-3</v>
      </c>
      <c r="Y30" s="98">
        <v>5.6151699999999998E-4</v>
      </c>
      <c r="Z30" s="98">
        <v>1.585485E-3</v>
      </c>
      <c r="AA30" s="98">
        <v>0.87672351699999995</v>
      </c>
      <c r="AB30" s="98">
        <v>2.816951027</v>
      </c>
      <c r="AC30" s="98">
        <v>4.0301449290000004</v>
      </c>
      <c r="AD30" s="98">
        <v>465.43139600000001</v>
      </c>
      <c r="AE30" s="98">
        <v>9.7753129999999994E-2</v>
      </c>
      <c r="AF30" s="98">
        <v>4.3405912689999999</v>
      </c>
      <c r="AG30" s="98">
        <v>2.7041400000000002E-4</v>
      </c>
      <c r="AH30" s="98">
        <v>0.26732223700000002</v>
      </c>
      <c r="AI30" s="98">
        <v>1.42102331</v>
      </c>
      <c r="AJ30" s="98">
        <v>5.8260680000000002E-2</v>
      </c>
      <c r="AK30" s="98">
        <v>1.4177100000000001E-4</v>
      </c>
      <c r="AL30" s="98">
        <v>0.25693706599999999</v>
      </c>
      <c r="AM30" s="98">
        <v>5.0613666659999996</v>
      </c>
      <c r="AN30" s="98">
        <v>0.975657314</v>
      </c>
      <c r="AO30" s="98">
        <v>1.9971681100000001</v>
      </c>
      <c r="AP30" s="98">
        <v>2.8814119699999998</v>
      </c>
      <c r="AQ30" s="98">
        <v>10.475148679</v>
      </c>
      <c r="AR30" s="98">
        <v>0.13154831</v>
      </c>
      <c r="AS30" s="98">
        <v>4.4696186999999998E-2</v>
      </c>
      <c r="AT30" s="98">
        <v>4.5202702999999997E-2</v>
      </c>
      <c r="AU30" s="98">
        <v>0.57504544300000004</v>
      </c>
      <c r="AV30" s="98">
        <v>95.714635912999995</v>
      </c>
      <c r="AW30" s="98">
        <v>0.76949245600000005</v>
      </c>
      <c r="AX30" s="98">
        <v>0.206691653</v>
      </c>
      <c r="AY30" s="98">
        <v>0.88892165899999998</v>
      </c>
      <c r="AZ30" s="98">
        <v>9.1957900000000001E-4</v>
      </c>
      <c r="BA30" s="98">
        <v>0.73411585300000004</v>
      </c>
      <c r="BB30" s="98">
        <v>0.89047225500000005</v>
      </c>
      <c r="BC30" s="98">
        <v>15.119972174999999</v>
      </c>
      <c r="BD30" s="98">
        <v>27.066841369999999</v>
      </c>
      <c r="BE30" s="98">
        <v>7.2558358000000003E-2</v>
      </c>
      <c r="BF30" s="98">
        <v>3.6784575130000001</v>
      </c>
      <c r="BG30" s="98">
        <v>0</v>
      </c>
      <c r="BH30" s="98">
        <v>0</v>
      </c>
      <c r="BI30" s="98">
        <v>0</v>
      </c>
      <c r="BJ30" s="98">
        <v>0</v>
      </c>
      <c r="BK30" s="98">
        <v>1413.7157239999999</v>
      </c>
      <c r="BL30" s="98">
        <v>7.6892799999999999E-4</v>
      </c>
      <c r="BM30" s="98">
        <v>1.587E-6</v>
      </c>
      <c r="BN30" s="98">
        <v>0</v>
      </c>
      <c r="BO30" s="98">
        <v>0</v>
      </c>
      <c r="BP30" s="98">
        <v>0</v>
      </c>
      <c r="BQ30" s="98">
        <v>0</v>
      </c>
      <c r="BR30" s="98">
        <v>0</v>
      </c>
      <c r="BS30" s="98">
        <v>0</v>
      </c>
      <c r="BT30" s="98">
        <v>1887.664753478</v>
      </c>
      <c r="BU30" s="98">
        <v>0</v>
      </c>
      <c r="BV30" s="98">
        <v>0</v>
      </c>
      <c r="BW30" s="82">
        <v>0</v>
      </c>
      <c r="BX30" s="100"/>
    </row>
    <row r="31" spans="1:76">
      <c r="A31" s="101" t="s">
        <v>845</v>
      </c>
      <c r="B31" s="98">
        <v>0.17356142999999999</v>
      </c>
      <c r="C31" s="98">
        <v>3.1446000000000002E-4</v>
      </c>
      <c r="D31" s="98">
        <v>0.184986133</v>
      </c>
      <c r="E31" s="98">
        <v>9.6062946010000001</v>
      </c>
      <c r="F31" s="98">
        <v>0.62150416500000005</v>
      </c>
      <c r="G31" s="98">
        <v>8.8874199999999998E-4</v>
      </c>
      <c r="H31" s="98">
        <v>7.7191187999999994E-2</v>
      </c>
      <c r="I31" s="98">
        <v>9.5623195709999997</v>
      </c>
      <c r="J31" s="98">
        <v>0.172070738</v>
      </c>
      <c r="K31" s="98">
        <v>2.2032875000000001</v>
      </c>
      <c r="L31" s="98">
        <v>6.0021216000000002E-2</v>
      </c>
      <c r="M31" s="98">
        <v>1.366059E-3</v>
      </c>
      <c r="N31" s="98">
        <v>1.557444716</v>
      </c>
      <c r="O31" s="98">
        <v>0.79228870900000004</v>
      </c>
      <c r="P31" s="98">
        <v>5.9644781000000001E-2</v>
      </c>
      <c r="Q31" s="98">
        <v>1.9374799999999999E-4</v>
      </c>
      <c r="R31" s="98">
        <v>2.8302600000000002E-4</v>
      </c>
      <c r="S31" s="98">
        <v>3.5517572999999997E-2</v>
      </c>
      <c r="T31" s="98">
        <v>5.5306736000000002E-2</v>
      </c>
      <c r="U31" s="98">
        <v>0.16360176900000001</v>
      </c>
      <c r="V31" s="98">
        <v>0.56950166999999996</v>
      </c>
      <c r="W31" s="98">
        <v>1.6386853999999999E-2</v>
      </c>
      <c r="X31" s="98">
        <v>2.6369068999999998E-2</v>
      </c>
      <c r="Y31" s="98">
        <v>0.25077992799999999</v>
      </c>
      <c r="Z31" s="98">
        <v>1.7455966810000001</v>
      </c>
      <c r="AA31" s="98">
        <v>1.816405424</v>
      </c>
      <c r="AB31" s="98">
        <v>4.9442679710000004</v>
      </c>
      <c r="AC31" s="98">
        <v>3.573835E-3</v>
      </c>
      <c r="AD31" s="98">
        <v>0.87743497599999998</v>
      </c>
      <c r="AE31" s="98">
        <v>421.99078709999998</v>
      </c>
      <c r="AF31" s="98">
        <v>1.006014754</v>
      </c>
      <c r="AG31" s="98">
        <v>3.3593400000000003E-4</v>
      </c>
      <c r="AH31" s="98">
        <v>17.095070099000001</v>
      </c>
      <c r="AI31" s="98">
        <v>4.7681319699999998</v>
      </c>
      <c r="AJ31" s="98">
        <v>1.6789664559999999</v>
      </c>
      <c r="AK31" s="98">
        <v>1.1957028E-2</v>
      </c>
      <c r="AL31" s="98">
        <v>12.134836368</v>
      </c>
      <c r="AM31" s="98">
        <v>35.713462180999997</v>
      </c>
      <c r="AN31" s="98">
        <v>2.0197903259999999</v>
      </c>
      <c r="AO31" s="98">
        <v>50.426067373000002</v>
      </c>
      <c r="AP31" s="98">
        <v>42.309092874999997</v>
      </c>
      <c r="AQ31" s="98">
        <v>447.60788000000002</v>
      </c>
      <c r="AR31" s="98">
        <v>2.1722549000000001E-2</v>
      </c>
      <c r="AS31" s="98">
        <v>7.6756710000000002E-3</v>
      </c>
      <c r="AT31" s="98">
        <v>5.3349240999999999E-2</v>
      </c>
      <c r="AU31" s="98">
        <v>342.67231800000002</v>
      </c>
      <c r="AV31" s="98">
        <v>52.289778439999999</v>
      </c>
      <c r="AW31" s="98">
        <v>2.714905414</v>
      </c>
      <c r="AX31" s="98">
        <v>0.25074112799999998</v>
      </c>
      <c r="AY31" s="98">
        <v>1.311367605</v>
      </c>
      <c r="AZ31" s="98">
        <v>2.7961790000000002E-3</v>
      </c>
      <c r="BA31" s="98">
        <v>2.6855639779999998</v>
      </c>
      <c r="BB31" s="98">
        <v>0.73600741599999997</v>
      </c>
      <c r="BC31" s="98">
        <v>12.855622789</v>
      </c>
      <c r="BD31" s="98">
        <v>2.7756601679999999</v>
      </c>
      <c r="BE31" s="98">
        <v>7.2636384999999998E-2</v>
      </c>
      <c r="BF31" s="98">
        <v>5.3066322999999999E-2</v>
      </c>
      <c r="BG31" s="98">
        <v>0</v>
      </c>
      <c r="BH31" s="98">
        <v>0</v>
      </c>
      <c r="BI31" s="98">
        <v>0</v>
      </c>
      <c r="BJ31" s="98">
        <v>0</v>
      </c>
      <c r="BK31" s="98">
        <v>35.147676400000002</v>
      </c>
      <c r="BL31" s="98">
        <v>1.3390000000000001E-5</v>
      </c>
      <c r="BM31" s="98">
        <v>1.4137493320000001</v>
      </c>
      <c r="BN31" s="98">
        <v>0</v>
      </c>
      <c r="BO31" s="98">
        <v>0</v>
      </c>
      <c r="BP31" s="98">
        <v>0</v>
      </c>
      <c r="BQ31" s="98">
        <v>0</v>
      </c>
      <c r="BR31" s="98">
        <v>0</v>
      </c>
      <c r="BS31" s="98">
        <v>0</v>
      </c>
      <c r="BT31" s="98">
        <v>1688.827768313</v>
      </c>
      <c r="BU31" s="98">
        <v>0</v>
      </c>
      <c r="BV31" s="98">
        <v>0</v>
      </c>
      <c r="BW31" s="82">
        <v>0</v>
      </c>
      <c r="BX31" s="100"/>
    </row>
    <row r="32" spans="1:76">
      <c r="A32" s="101" t="s">
        <v>846</v>
      </c>
      <c r="B32" s="98">
        <v>3.6215179999999998E-3</v>
      </c>
      <c r="C32" s="98">
        <v>2.6100000000000002E-7</v>
      </c>
      <c r="D32" s="98">
        <v>1.5484299999999999E-4</v>
      </c>
      <c r="E32" s="98">
        <v>1.0195358999999999E-2</v>
      </c>
      <c r="F32" s="98">
        <v>4.9282299999999998E-4</v>
      </c>
      <c r="G32" s="98">
        <v>9.5897500000000004E-4</v>
      </c>
      <c r="H32" s="98">
        <v>7.2044899999999996E-4</v>
      </c>
      <c r="I32" s="98">
        <v>8.5024390000000005E-3</v>
      </c>
      <c r="J32" s="98">
        <v>3.3519892000000003E-2</v>
      </c>
      <c r="K32" s="98">
        <v>0.42890523600000002</v>
      </c>
      <c r="L32" s="98">
        <v>1.1733494000000001E-2</v>
      </c>
      <c r="M32" s="98">
        <v>2.81716E-4</v>
      </c>
      <c r="N32" s="98">
        <v>0.16096843399999999</v>
      </c>
      <c r="O32" s="98">
        <v>2.8844191000000002E-2</v>
      </c>
      <c r="P32" s="98">
        <v>0.31801900700000002</v>
      </c>
      <c r="Q32" s="98">
        <v>0.66336622599999995</v>
      </c>
      <c r="R32" s="98">
        <v>0.24885379999999999</v>
      </c>
      <c r="S32" s="98">
        <v>0.25325103500000001</v>
      </c>
      <c r="T32" s="98">
        <v>5.6682817999999999</v>
      </c>
      <c r="U32" s="98">
        <v>15.217475889999999</v>
      </c>
      <c r="V32" s="98">
        <v>6.2343096999999998</v>
      </c>
      <c r="W32" s="98">
        <v>1.699989558</v>
      </c>
      <c r="X32" s="98">
        <v>6.8721641999999999E-2</v>
      </c>
      <c r="Y32" s="98">
        <v>1.108388937</v>
      </c>
      <c r="Z32" s="98">
        <v>68.788381529999995</v>
      </c>
      <c r="AA32" s="98">
        <v>74.594943009999994</v>
      </c>
      <c r="AB32" s="98">
        <v>52.749086869999999</v>
      </c>
      <c r="AC32" s="98">
        <v>59.697224452999997</v>
      </c>
      <c r="AD32" s="98">
        <v>46.280860310000001</v>
      </c>
      <c r="AE32" s="98">
        <v>57.311638778999999</v>
      </c>
      <c r="AF32" s="98">
        <v>1057.0189820000001</v>
      </c>
      <c r="AG32" s="98">
        <v>0.43456714699999999</v>
      </c>
      <c r="AH32" s="98">
        <v>115.93648999</v>
      </c>
      <c r="AI32" s="98">
        <v>50.936908719999998</v>
      </c>
      <c r="AJ32" s="98">
        <v>8.7958054220000008</v>
      </c>
      <c r="AK32" s="98">
        <v>5.5412841999999997E-2</v>
      </c>
      <c r="AL32" s="98">
        <v>12.548519539999999</v>
      </c>
      <c r="AM32" s="98">
        <v>53.90671622</v>
      </c>
      <c r="AN32" s="98">
        <v>1.236006315</v>
      </c>
      <c r="AO32" s="98">
        <v>74.755963800000004</v>
      </c>
      <c r="AP32" s="98">
        <v>50.787633843999998</v>
      </c>
      <c r="AQ32" s="98">
        <v>60.985599499999999</v>
      </c>
      <c r="AR32" s="98">
        <v>13.500916846999999</v>
      </c>
      <c r="AS32" s="98">
        <v>0.77212202299999999</v>
      </c>
      <c r="AT32" s="98">
        <v>1.8130072669999999</v>
      </c>
      <c r="AU32" s="98">
        <v>5.8934591960000002</v>
      </c>
      <c r="AV32" s="98">
        <v>105.3811721</v>
      </c>
      <c r="AW32" s="98">
        <v>61.011492251</v>
      </c>
      <c r="AX32" s="98">
        <v>7.7466500920000003</v>
      </c>
      <c r="AY32" s="98">
        <v>50.433590168000002</v>
      </c>
      <c r="AZ32" s="98">
        <v>10.322992320000001</v>
      </c>
      <c r="BA32" s="98">
        <v>119.5816818</v>
      </c>
      <c r="BB32" s="98">
        <v>51.680499099999999</v>
      </c>
      <c r="BC32" s="98">
        <v>270.35722672999998</v>
      </c>
      <c r="BD32" s="98">
        <v>71.633417100000003</v>
      </c>
      <c r="BE32" s="98">
        <v>275.46316054300001</v>
      </c>
      <c r="BF32" s="98">
        <v>20.514471385</v>
      </c>
      <c r="BG32" s="98">
        <v>0</v>
      </c>
      <c r="BH32" s="98">
        <v>0</v>
      </c>
      <c r="BI32" s="98">
        <v>0</v>
      </c>
      <c r="BJ32" s="98">
        <v>0</v>
      </c>
      <c r="BK32" s="98">
        <v>504.694275</v>
      </c>
      <c r="BL32" s="98">
        <v>2.6488000000000002E-3</v>
      </c>
      <c r="BM32" s="98">
        <v>2.3466771000000001E-2</v>
      </c>
      <c r="BN32" s="98">
        <v>0</v>
      </c>
      <c r="BO32" s="98">
        <v>0</v>
      </c>
      <c r="BP32" s="98">
        <v>0</v>
      </c>
      <c r="BQ32" s="98">
        <v>0</v>
      </c>
      <c r="BR32" s="98">
        <v>0</v>
      </c>
      <c r="BS32" s="98">
        <v>0</v>
      </c>
      <c r="BT32" s="98">
        <v>829.79158895</v>
      </c>
      <c r="BU32" s="98">
        <v>0</v>
      </c>
      <c r="BV32" s="98">
        <v>0</v>
      </c>
      <c r="BW32" s="82">
        <v>0</v>
      </c>
      <c r="BX32" s="100"/>
    </row>
    <row r="33" spans="1:76">
      <c r="A33" s="101" t="s">
        <v>847</v>
      </c>
      <c r="B33" s="98">
        <v>7.6165177719999999</v>
      </c>
      <c r="C33" s="98">
        <v>6.198449E-3</v>
      </c>
      <c r="D33" s="98">
        <v>3.6496565190000001</v>
      </c>
      <c r="E33" s="98">
        <v>29.983295847000001</v>
      </c>
      <c r="F33" s="98">
        <v>1.9391008460000001</v>
      </c>
      <c r="G33" s="98">
        <v>7.0214502220000004</v>
      </c>
      <c r="H33" s="98">
        <v>0.64394593600000005</v>
      </c>
      <c r="I33" s="98">
        <v>29.955396100000002</v>
      </c>
      <c r="J33" s="98">
        <v>1.113233938</v>
      </c>
      <c r="K33" s="98">
        <v>14.224266050000001</v>
      </c>
      <c r="L33" s="98">
        <v>0.388945718</v>
      </c>
      <c r="M33" s="98">
        <v>8.7129240000000004E-3</v>
      </c>
      <c r="N33" s="98">
        <v>1.903201699</v>
      </c>
      <c r="O33" s="98">
        <v>210.4779417</v>
      </c>
      <c r="P33" s="98">
        <v>7.1901969999999997E-3</v>
      </c>
      <c r="Q33" s="98">
        <v>3.3977947000000001E-2</v>
      </c>
      <c r="R33" s="98">
        <v>5.7380423999999999E-2</v>
      </c>
      <c r="S33" s="98">
        <v>9.6772148730000005</v>
      </c>
      <c r="T33" s="98">
        <v>6.2819606109999997</v>
      </c>
      <c r="U33" s="98">
        <v>18.394442815000001</v>
      </c>
      <c r="V33" s="98">
        <v>12.591639906999999</v>
      </c>
      <c r="W33" s="98">
        <v>1.822630602</v>
      </c>
      <c r="X33" s="98">
        <v>3.132478742</v>
      </c>
      <c r="Y33" s="98">
        <v>12.042116715000001</v>
      </c>
      <c r="Z33" s="98">
        <v>59.848880479999998</v>
      </c>
      <c r="AA33" s="98">
        <v>32.271498305999998</v>
      </c>
      <c r="AB33" s="98">
        <v>80.171312299999997</v>
      </c>
      <c r="AC33" s="98">
        <v>17.379493501999999</v>
      </c>
      <c r="AD33" s="98">
        <v>9.689141072</v>
      </c>
      <c r="AE33" s="98">
        <v>6.0826120709999998</v>
      </c>
      <c r="AF33" s="98">
        <v>39.503216786999999</v>
      </c>
      <c r="AG33" s="98">
        <v>103.43362430000001</v>
      </c>
      <c r="AH33" s="98">
        <v>384.90719023999998</v>
      </c>
      <c r="AI33" s="98">
        <v>144.26580920999999</v>
      </c>
      <c r="AJ33" s="98">
        <v>67.863883180000002</v>
      </c>
      <c r="AK33" s="98">
        <v>8.0611771819999998</v>
      </c>
      <c r="AL33" s="98">
        <v>2.5292723399999999</v>
      </c>
      <c r="AM33" s="98">
        <v>55.27953153</v>
      </c>
      <c r="AN33" s="98">
        <v>17.933562874</v>
      </c>
      <c r="AO33" s="98">
        <v>7.0203248289999998</v>
      </c>
      <c r="AP33" s="98">
        <v>21.099030042999999</v>
      </c>
      <c r="AQ33" s="98">
        <v>96.2652085</v>
      </c>
      <c r="AR33" s="98">
        <v>967.61273200000005</v>
      </c>
      <c r="AS33" s="98">
        <v>1.7357739000000001E-2</v>
      </c>
      <c r="AT33" s="98">
        <v>16.220694333000001</v>
      </c>
      <c r="AU33" s="98">
        <v>75.788011116999996</v>
      </c>
      <c r="AV33" s="98">
        <v>157.68626686900001</v>
      </c>
      <c r="AW33" s="98">
        <v>1626.0610200000001</v>
      </c>
      <c r="AX33" s="98">
        <v>153.84597729999999</v>
      </c>
      <c r="AY33" s="98">
        <v>636.71914600000002</v>
      </c>
      <c r="AZ33" s="98">
        <v>2.7137341689999999</v>
      </c>
      <c r="BA33" s="98">
        <v>5.7135052899999996</v>
      </c>
      <c r="BB33" s="98">
        <v>3.4804720250000001</v>
      </c>
      <c r="BC33" s="98">
        <v>35.475454104000001</v>
      </c>
      <c r="BD33" s="98">
        <v>19.723056164999999</v>
      </c>
      <c r="BE33" s="98">
        <v>69.082565987999999</v>
      </c>
      <c r="BF33" s="98">
        <v>4.6594485999999997E-2</v>
      </c>
      <c r="BG33" s="98">
        <v>0</v>
      </c>
      <c r="BH33" s="98">
        <v>0</v>
      </c>
      <c r="BI33" s="98">
        <v>0</v>
      </c>
      <c r="BJ33" s="98">
        <v>0</v>
      </c>
      <c r="BK33" s="98">
        <v>1920.8728844</v>
      </c>
      <c r="BL33" s="98">
        <v>8.3000000000000002E-8</v>
      </c>
      <c r="BM33" s="98">
        <v>7.3000000000000005E-8</v>
      </c>
      <c r="BN33" s="98">
        <v>0</v>
      </c>
      <c r="BO33" s="98">
        <v>0</v>
      </c>
      <c r="BP33" s="98">
        <v>0</v>
      </c>
      <c r="BQ33" s="98">
        <v>0</v>
      </c>
      <c r="BR33" s="98">
        <v>0</v>
      </c>
      <c r="BS33" s="98">
        <v>0</v>
      </c>
      <c r="BT33" s="98">
        <v>808.72985865400005</v>
      </c>
      <c r="BU33" s="98">
        <v>0</v>
      </c>
      <c r="BV33" s="98">
        <v>0</v>
      </c>
      <c r="BW33" s="82">
        <v>0</v>
      </c>
      <c r="BX33" s="100"/>
    </row>
    <row r="34" spans="1:76">
      <c r="A34" s="101" t="s">
        <v>848</v>
      </c>
      <c r="B34" s="98">
        <v>198.72516575</v>
      </c>
      <c r="C34" s="98">
        <v>1.4221988E-2</v>
      </c>
      <c r="D34" s="98">
        <v>17.188496828000002</v>
      </c>
      <c r="E34" s="98">
        <v>233.50785049999999</v>
      </c>
      <c r="F34" s="98">
        <v>9.6673324100000002</v>
      </c>
      <c r="G34" s="98">
        <v>29.261658977</v>
      </c>
      <c r="H34" s="98">
        <v>9.8526697199999997</v>
      </c>
      <c r="I34" s="98">
        <v>157.95229710000001</v>
      </c>
      <c r="J34" s="98">
        <v>4.1235129800000001</v>
      </c>
      <c r="K34" s="98">
        <v>38.480708110000002</v>
      </c>
      <c r="L34" s="98">
        <v>1.707519829</v>
      </c>
      <c r="M34" s="98">
        <v>5.5138020000000003E-2</v>
      </c>
      <c r="N34" s="98">
        <v>1.6534383939999999</v>
      </c>
      <c r="O34" s="98">
        <v>98.312787999999998</v>
      </c>
      <c r="P34" s="98">
        <v>5.4928095360000002</v>
      </c>
      <c r="Q34" s="98">
        <v>2.0788014239999999</v>
      </c>
      <c r="R34" s="98">
        <v>2.0411783730000002</v>
      </c>
      <c r="S34" s="98">
        <v>2.9738559690000002</v>
      </c>
      <c r="T34" s="98">
        <v>10.388772960000001</v>
      </c>
      <c r="U34" s="98">
        <v>27.689046900000001</v>
      </c>
      <c r="V34" s="98">
        <v>34.470249199999998</v>
      </c>
      <c r="W34" s="98">
        <v>3.1173431800000002</v>
      </c>
      <c r="X34" s="98">
        <v>0.14179328599999999</v>
      </c>
      <c r="Y34" s="98">
        <v>23.275500310000002</v>
      </c>
      <c r="Z34" s="98">
        <v>140.10202029999999</v>
      </c>
      <c r="AA34" s="98">
        <v>158.6192781</v>
      </c>
      <c r="AB34" s="98">
        <v>1437.013764</v>
      </c>
      <c r="AC34" s="98">
        <v>149.0944824</v>
      </c>
      <c r="AD34" s="98">
        <v>488.424622</v>
      </c>
      <c r="AE34" s="98">
        <v>100.1441784</v>
      </c>
      <c r="AF34" s="98">
        <v>208.28658369999999</v>
      </c>
      <c r="AG34" s="98">
        <v>28.44982336</v>
      </c>
      <c r="AH34" s="98">
        <v>4068.5705600000001</v>
      </c>
      <c r="AI34" s="98">
        <v>120.23481791</v>
      </c>
      <c r="AJ34" s="98">
        <v>55.630413539999999</v>
      </c>
      <c r="AK34" s="98">
        <v>11.15401793</v>
      </c>
      <c r="AL34" s="98">
        <v>75.537704500000004</v>
      </c>
      <c r="AM34" s="98">
        <v>550.72752300000002</v>
      </c>
      <c r="AN34" s="98">
        <v>16.525419729999999</v>
      </c>
      <c r="AO34" s="98">
        <v>940.01034600000003</v>
      </c>
      <c r="AP34" s="98">
        <v>243.22508300000001</v>
      </c>
      <c r="AQ34" s="98">
        <v>239.38370520000001</v>
      </c>
      <c r="AR34" s="98">
        <v>47.92507501</v>
      </c>
      <c r="AS34" s="98">
        <v>1.4266038110000001</v>
      </c>
      <c r="AT34" s="98">
        <v>10.416303149999999</v>
      </c>
      <c r="AU34" s="98">
        <v>127.9965935</v>
      </c>
      <c r="AV34" s="98">
        <v>189.40144340000001</v>
      </c>
      <c r="AW34" s="98">
        <v>264.2320522</v>
      </c>
      <c r="AX34" s="98">
        <v>23.757324260000001</v>
      </c>
      <c r="AY34" s="98">
        <v>91.049558599999997</v>
      </c>
      <c r="AZ34" s="98">
        <v>4.4792297779999997</v>
      </c>
      <c r="BA34" s="98">
        <v>57.468153979999997</v>
      </c>
      <c r="BB34" s="98">
        <v>15.86252925</v>
      </c>
      <c r="BC34" s="98">
        <v>408.76997399999999</v>
      </c>
      <c r="BD34" s="98">
        <v>168.9200668</v>
      </c>
      <c r="BE34" s="98">
        <v>146.71949979999999</v>
      </c>
      <c r="BF34" s="98">
        <v>103.2747459</v>
      </c>
      <c r="BG34" s="98">
        <v>0</v>
      </c>
      <c r="BH34" s="98">
        <v>0</v>
      </c>
      <c r="BI34" s="98">
        <v>0</v>
      </c>
      <c r="BJ34" s="98">
        <v>0</v>
      </c>
      <c r="BK34" s="98">
        <v>1872.549379</v>
      </c>
      <c r="BL34" s="98">
        <v>1.0621059999999999E-3</v>
      </c>
      <c r="BM34" s="98">
        <v>31.480338179</v>
      </c>
      <c r="BN34" s="98">
        <v>0</v>
      </c>
      <c r="BO34" s="98">
        <v>0</v>
      </c>
      <c r="BP34" s="98">
        <v>0</v>
      </c>
      <c r="BQ34" s="98">
        <v>0</v>
      </c>
      <c r="BR34" s="98">
        <v>0</v>
      </c>
      <c r="BS34" s="98">
        <v>0</v>
      </c>
      <c r="BT34" s="98">
        <v>7153.0489040430002</v>
      </c>
      <c r="BU34" s="98">
        <v>0</v>
      </c>
      <c r="BV34" s="98">
        <v>0</v>
      </c>
      <c r="BW34" s="82">
        <v>0</v>
      </c>
      <c r="BX34" s="100"/>
    </row>
    <row r="35" spans="1:76">
      <c r="A35" s="101" t="s">
        <v>849</v>
      </c>
      <c r="B35" s="98">
        <v>0.14283464400000001</v>
      </c>
      <c r="C35" s="98">
        <v>1.0720000000000001E-6</v>
      </c>
      <c r="D35" s="98">
        <v>4.4439000000000002E-4</v>
      </c>
      <c r="E35" s="98">
        <v>3.2317740420000001</v>
      </c>
      <c r="F35" s="98">
        <v>0.209251304</v>
      </c>
      <c r="G35" s="98">
        <v>1.1043450000000001E-3</v>
      </c>
      <c r="H35" s="98">
        <v>6.8416500000000003E-4</v>
      </c>
      <c r="I35" s="98">
        <v>3.2220564719999998</v>
      </c>
      <c r="J35" s="98">
        <v>3.4901424E-2</v>
      </c>
      <c r="K35" s="98">
        <v>0.44133101600000002</v>
      </c>
      <c r="L35" s="98">
        <v>1.2562406E-2</v>
      </c>
      <c r="M35" s="98">
        <v>2.9370699999999999E-4</v>
      </c>
      <c r="N35" s="98">
        <v>2.3626550829999999</v>
      </c>
      <c r="O35" s="98">
        <v>2.4191080619999998</v>
      </c>
      <c r="P35" s="98">
        <v>2.5453066999999999E-2</v>
      </c>
      <c r="Q35" s="98">
        <v>1.3348870000000001E-3</v>
      </c>
      <c r="R35" s="98">
        <v>1.477449E-3</v>
      </c>
      <c r="S35" s="98">
        <v>5.3559750000000003E-2</v>
      </c>
      <c r="T35" s="98">
        <v>3.1610236E-2</v>
      </c>
      <c r="U35" s="98">
        <v>9.2735789999999999E-2</v>
      </c>
      <c r="V35" s="98">
        <v>0.60239378399999999</v>
      </c>
      <c r="W35" s="98">
        <v>9.6095750000000004E-3</v>
      </c>
      <c r="X35" s="98">
        <v>2.5079289999999999E-3</v>
      </c>
      <c r="Y35" s="98">
        <v>4.8451188319999998</v>
      </c>
      <c r="Z35" s="98">
        <v>26.264353320000001</v>
      </c>
      <c r="AA35" s="98">
        <v>76.920347199999995</v>
      </c>
      <c r="AB35" s="98">
        <v>7.529544E-3</v>
      </c>
      <c r="AC35" s="98">
        <v>2.3369879999999999E-3</v>
      </c>
      <c r="AD35" s="98">
        <v>0.170691597</v>
      </c>
      <c r="AE35" s="98">
        <v>0.65990777</v>
      </c>
      <c r="AF35" s="98">
        <v>0.43411559999999999</v>
      </c>
      <c r="AG35" s="98">
        <v>4.4463719999999997E-3</v>
      </c>
      <c r="AH35" s="98">
        <v>42.508377099999997</v>
      </c>
      <c r="AI35" s="98">
        <v>401.25038899999998</v>
      </c>
      <c r="AJ35" s="98">
        <v>15.275321523000001</v>
      </c>
      <c r="AK35" s="98">
        <v>2.1521936679999998</v>
      </c>
      <c r="AL35" s="98">
        <v>5.9174912690000001</v>
      </c>
      <c r="AM35" s="98">
        <v>97.377622599999995</v>
      </c>
      <c r="AN35" s="98">
        <v>3.0286347920000001</v>
      </c>
      <c r="AO35" s="98">
        <v>403.48051429999998</v>
      </c>
      <c r="AP35" s="98">
        <v>359.55195639999999</v>
      </c>
      <c r="AQ35" s="98">
        <v>12.490660441999999</v>
      </c>
      <c r="AR35" s="98">
        <v>2.6307888130000001</v>
      </c>
      <c r="AS35" s="98">
        <v>0.19562339200000001</v>
      </c>
      <c r="AT35" s="98">
        <v>0.183645219</v>
      </c>
      <c r="AU35" s="98">
        <v>1647.03628</v>
      </c>
      <c r="AV35" s="98">
        <v>11.2375772</v>
      </c>
      <c r="AW35" s="98">
        <v>0.68275140199999995</v>
      </c>
      <c r="AX35" s="98">
        <v>0.215852145</v>
      </c>
      <c r="AY35" s="98">
        <v>0.41282232600000002</v>
      </c>
      <c r="AZ35" s="98">
        <v>2.1429890000000001E-3</v>
      </c>
      <c r="BA35" s="98">
        <v>0.89874788699999997</v>
      </c>
      <c r="BB35" s="98">
        <v>1.103234128</v>
      </c>
      <c r="BC35" s="98">
        <v>14.50920487</v>
      </c>
      <c r="BD35" s="98">
        <v>28.929863900000001</v>
      </c>
      <c r="BE35" s="98">
        <v>1.4555341150000001</v>
      </c>
      <c r="BF35" s="98">
        <v>15.570694939999999</v>
      </c>
      <c r="BG35" s="98">
        <v>0</v>
      </c>
      <c r="BH35" s="98">
        <v>0</v>
      </c>
      <c r="BI35" s="98">
        <v>0</v>
      </c>
      <c r="BJ35" s="98">
        <v>0</v>
      </c>
      <c r="BK35" s="98">
        <v>108.5731048</v>
      </c>
      <c r="BL35" s="98">
        <v>2.9776000000000001E-5</v>
      </c>
      <c r="BM35" s="98">
        <v>96.804017999999999</v>
      </c>
      <c r="BN35" s="98">
        <v>0</v>
      </c>
      <c r="BO35" s="98">
        <v>0</v>
      </c>
      <c r="BP35" s="98">
        <v>0</v>
      </c>
      <c r="BQ35" s="98">
        <v>0</v>
      </c>
      <c r="BR35" s="98">
        <v>0</v>
      </c>
      <c r="BS35" s="98">
        <v>0</v>
      </c>
      <c r="BT35" s="98">
        <v>1613.2624210009999</v>
      </c>
      <c r="BU35" s="98">
        <v>0</v>
      </c>
      <c r="BV35" s="98">
        <v>0</v>
      </c>
      <c r="BW35" s="82">
        <v>0</v>
      </c>
      <c r="BX35" s="100"/>
    </row>
    <row r="36" spans="1:76">
      <c r="A36" s="101" t="s">
        <v>850</v>
      </c>
      <c r="B36" s="98">
        <v>0.13382324000000001</v>
      </c>
      <c r="C36" s="98">
        <v>2.20829E-4</v>
      </c>
      <c r="D36" s="98">
        <v>0.131550686</v>
      </c>
      <c r="E36" s="98">
        <v>6.9638800000000004E-4</v>
      </c>
      <c r="F36" s="98">
        <v>4.3133700000000001E-4</v>
      </c>
      <c r="G36" s="98">
        <v>1.042702E-3</v>
      </c>
      <c r="H36" s="98">
        <v>1.2365570000000001E-3</v>
      </c>
      <c r="I36" s="98">
        <v>1.6102569999999999E-3</v>
      </c>
      <c r="J36" s="98">
        <v>1.2604539999999999E-2</v>
      </c>
      <c r="K36" s="98">
        <v>0.14978170199999999</v>
      </c>
      <c r="L36" s="98">
        <v>4.6101470000000002E-3</v>
      </c>
      <c r="M36" s="98">
        <v>1.45611E-4</v>
      </c>
      <c r="N36" s="98">
        <v>0.30819450700000001</v>
      </c>
      <c r="O36" s="98">
        <v>1.3402278E-2</v>
      </c>
      <c r="P36" s="98">
        <v>8.2879914999999998E-2</v>
      </c>
      <c r="Q36" s="98">
        <v>4.6198100000000002E-3</v>
      </c>
      <c r="R36" s="98">
        <v>3.305101E-3</v>
      </c>
      <c r="S36" s="98">
        <v>0.30162130199999998</v>
      </c>
      <c r="T36" s="98">
        <v>0.28545185200000001</v>
      </c>
      <c r="U36" s="98">
        <v>0.83576261699999999</v>
      </c>
      <c r="V36" s="98">
        <v>1.268543E-3</v>
      </c>
      <c r="W36" s="98">
        <v>8.2827994000000002E-2</v>
      </c>
      <c r="X36" s="98">
        <v>2.7289189999999998E-3</v>
      </c>
      <c r="Y36" s="98">
        <v>6.97005E-4</v>
      </c>
      <c r="Z36" s="98">
        <v>0.24310866</v>
      </c>
      <c r="AA36" s="98">
        <v>5.7700060000000003E-3</v>
      </c>
      <c r="AB36" s="98">
        <v>0.358605489</v>
      </c>
      <c r="AC36" s="98">
        <v>5.4881499999999998E-3</v>
      </c>
      <c r="AD36" s="98">
        <v>2.2707693000000001E-2</v>
      </c>
      <c r="AE36" s="98">
        <v>3.5675679000000002E-2</v>
      </c>
      <c r="AF36" s="98">
        <v>6.693386E-3</v>
      </c>
      <c r="AG36" s="98">
        <v>2.0717259999999999E-3</v>
      </c>
      <c r="AH36" s="98">
        <v>8.2706556300000003</v>
      </c>
      <c r="AI36" s="98">
        <v>220.01244779999999</v>
      </c>
      <c r="AJ36" s="98">
        <v>1354.8941600000001</v>
      </c>
      <c r="AK36" s="98">
        <v>1.1496721999999999E-2</v>
      </c>
      <c r="AL36" s="98">
        <v>669.43467699999997</v>
      </c>
      <c r="AM36" s="98">
        <v>645.55210899999997</v>
      </c>
      <c r="AN36" s="98">
        <v>26.20987513</v>
      </c>
      <c r="AO36" s="98">
        <v>374.59471100000002</v>
      </c>
      <c r="AP36" s="98">
        <v>877.87448099999995</v>
      </c>
      <c r="AQ36" s="98">
        <v>29.675475649999999</v>
      </c>
      <c r="AR36" s="98">
        <v>0.27322166399999998</v>
      </c>
      <c r="AS36" s="98">
        <v>1.7758774000000001E-2</v>
      </c>
      <c r="AT36" s="98">
        <v>1.3902454999999999E-2</v>
      </c>
      <c r="AU36" s="98">
        <v>851.21304299999997</v>
      </c>
      <c r="AV36" s="98">
        <v>0.754504854</v>
      </c>
      <c r="AW36" s="98">
        <v>3.4867117599999999</v>
      </c>
      <c r="AX36" s="98">
        <v>0.92487900499999998</v>
      </c>
      <c r="AY36" s="98">
        <v>2.4873115239999999</v>
      </c>
      <c r="AZ36" s="98">
        <v>1.7496320000000001E-3</v>
      </c>
      <c r="BA36" s="98">
        <v>1.3396879999999999E-3</v>
      </c>
      <c r="BB36" s="98">
        <v>1.005787E-3</v>
      </c>
      <c r="BC36" s="98">
        <v>9.6487834110000001</v>
      </c>
      <c r="BD36" s="98">
        <v>22.428882768000001</v>
      </c>
      <c r="BE36" s="98">
        <v>1.8147914000000001E-2</v>
      </c>
      <c r="BF36" s="98">
        <v>13.49439594</v>
      </c>
      <c r="BG36" s="98">
        <v>0</v>
      </c>
      <c r="BH36" s="98">
        <v>0</v>
      </c>
      <c r="BI36" s="98">
        <v>0</v>
      </c>
      <c r="BJ36" s="98">
        <v>0</v>
      </c>
      <c r="BK36" s="98">
        <v>5.4770299999999999E-3</v>
      </c>
      <c r="BL36" s="98">
        <v>2.3659999999999999E-6</v>
      </c>
      <c r="BM36" s="98">
        <v>2.7868849999999998E-3</v>
      </c>
      <c r="BN36" s="98">
        <v>0</v>
      </c>
      <c r="BO36" s="98">
        <v>0</v>
      </c>
      <c r="BP36" s="98">
        <v>0</v>
      </c>
      <c r="BQ36" s="98">
        <v>0</v>
      </c>
      <c r="BR36" s="98">
        <v>0</v>
      </c>
      <c r="BS36" s="98">
        <v>0</v>
      </c>
      <c r="BT36" s="98">
        <v>697.06697827999994</v>
      </c>
      <c r="BU36" s="98">
        <v>0</v>
      </c>
      <c r="BV36" s="98">
        <v>0</v>
      </c>
      <c r="BW36" s="82">
        <v>0</v>
      </c>
      <c r="BX36" s="100"/>
    </row>
    <row r="37" spans="1:76">
      <c r="A37" s="101" t="s">
        <v>851</v>
      </c>
      <c r="B37" s="98">
        <v>6.9188017000000004E-2</v>
      </c>
      <c r="C37" s="98">
        <v>1.473E-5</v>
      </c>
      <c r="D37" s="98">
        <v>1.7764595000000001E-2</v>
      </c>
      <c r="E37" s="98">
        <v>0.69983901500000001</v>
      </c>
      <c r="F37" s="98">
        <v>2.7822784E-2</v>
      </c>
      <c r="G37" s="98">
        <v>2.1611497E-2</v>
      </c>
      <c r="H37" s="98">
        <v>5.1190460000000004E-3</v>
      </c>
      <c r="I37" s="98">
        <v>0.45292518100000001</v>
      </c>
      <c r="J37" s="98">
        <v>4.9839241999999999E-2</v>
      </c>
      <c r="K37" s="98">
        <v>0.25277587899999998</v>
      </c>
      <c r="L37" s="98">
        <v>2.4651151E-2</v>
      </c>
      <c r="M37" s="98">
        <v>1.0437739999999999E-3</v>
      </c>
      <c r="N37" s="98">
        <v>3.5153802999999997E-2</v>
      </c>
      <c r="O37" s="98">
        <v>9.7080889999999996E-3</v>
      </c>
      <c r="P37" s="98">
        <v>1.2247979000000001E-2</v>
      </c>
      <c r="Q37" s="98">
        <v>6.1538800000000002E-4</v>
      </c>
      <c r="R37" s="98">
        <v>8.1056800000000001E-4</v>
      </c>
      <c r="S37" s="98">
        <v>7.4575771999999999E-2</v>
      </c>
      <c r="T37" s="98">
        <v>1.294041242</v>
      </c>
      <c r="U37" s="98">
        <v>3.2440641530000001</v>
      </c>
      <c r="V37" s="98">
        <v>0.148739659</v>
      </c>
      <c r="W37" s="98">
        <v>0.39573698099999999</v>
      </c>
      <c r="X37" s="98">
        <v>6.3553949999999998E-3</v>
      </c>
      <c r="Y37" s="98">
        <v>9.0286830999999998E-2</v>
      </c>
      <c r="Z37" s="98">
        <v>10.640799879999999</v>
      </c>
      <c r="AA37" s="98">
        <v>7.9759323599999998</v>
      </c>
      <c r="AB37" s="98">
        <v>1.059668874</v>
      </c>
      <c r="AC37" s="98">
        <v>8.8473560000000007E-3</v>
      </c>
      <c r="AD37" s="98">
        <v>0.43181408100000002</v>
      </c>
      <c r="AE37" s="98">
        <v>0.86098019699999995</v>
      </c>
      <c r="AF37" s="98">
        <v>5.8805559030000003</v>
      </c>
      <c r="AG37" s="98">
        <v>4.4188749999999999E-2</v>
      </c>
      <c r="AH37" s="98">
        <v>2.5307507180000002</v>
      </c>
      <c r="AI37" s="98">
        <v>1.024852656</v>
      </c>
      <c r="AJ37" s="98">
        <v>32.145991418999998</v>
      </c>
      <c r="AK37" s="98">
        <v>166.24680416699999</v>
      </c>
      <c r="AL37" s="98">
        <v>264.67655408899998</v>
      </c>
      <c r="AM37" s="98">
        <v>113.06078004699999</v>
      </c>
      <c r="AN37" s="98">
        <v>5.4435726459999998</v>
      </c>
      <c r="AO37" s="98">
        <v>769.82543330999999</v>
      </c>
      <c r="AP37" s="98">
        <v>155.4527665</v>
      </c>
      <c r="AQ37" s="98">
        <v>752.00325080000005</v>
      </c>
      <c r="AR37" s="98">
        <v>1.261192527</v>
      </c>
      <c r="AS37" s="98">
        <v>4.7310057000000003E-2</v>
      </c>
      <c r="AT37" s="98">
        <v>5.7004155000000001E-2</v>
      </c>
      <c r="AU37" s="98">
        <v>53.067273180000001</v>
      </c>
      <c r="AV37" s="98">
        <v>0.115927646</v>
      </c>
      <c r="AW37" s="98">
        <v>0.16625282999999999</v>
      </c>
      <c r="AX37" s="98">
        <v>1.4295489E-2</v>
      </c>
      <c r="AY37" s="98">
        <v>5.7560303E-2</v>
      </c>
      <c r="AZ37" s="98">
        <v>9.0420029999999998E-3</v>
      </c>
      <c r="BA37" s="98">
        <v>1.8719181000000001E-2</v>
      </c>
      <c r="BB37" s="98">
        <v>9.9450330000000007E-3</v>
      </c>
      <c r="BC37" s="98">
        <v>20.021905879999998</v>
      </c>
      <c r="BD37" s="98">
        <v>1.296380699</v>
      </c>
      <c r="BE37" s="98">
        <v>2.0851666000000001E-2</v>
      </c>
      <c r="BF37" s="98">
        <v>1.4829820680000001</v>
      </c>
      <c r="BG37" s="98">
        <v>0</v>
      </c>
      <c r="BH37" s="98">
        <v>0</v>
      </c>
      <c r="BI37" s="98">
        <v>0</v>
      </c>
      <c r="BJ37" s="98">
        <v>0</v>
      </c>
      <c r="BK37" s="98">
        <v>1.76483623</v>
      </c>
      <c r="BL37" s="98">
        <v>1.296E-6</v>
      </c>
      <c r="BM37" s="98">
        <v>21.157885183000001</v>
      </c>
      <c r="BN37" s="98">
        <v>0</v>
      </c>
      <c r="BO37" s="98">
        <v>0</v>
      </c>
      <c r="BP37" s="98">
        <v>0</v>
      </c>
      <c r="BQ37" s="98">
        <v>0</v>
      </c>
      <c r="BR37" s="98">
        <v>0</v>
      </c>
      <c r="BS37" s="98">
        <v>0</v>
      </c>
      <c r="BT37" s="98">
        <v>445.25755631499999</v>
      </c>
      <c r="BU37" s="98">
        <v>0</v>
      </c>
      <c r="BV37" s="98">
        <v>0</v>
      </c>
      <c r="BW37" s="82">
        <v>0</v>
      </c>
      <c r="BX37" s="100"/>
    </row>
    <row r="38" spans="1:76">
      <c r="A38" s="101" t="s">
        <v>852</v>
      </c>
      <c r="B38" s="98">
        <v>7.7624047440000004</v>
      </c>
      <c r="C38" s="98">
        <v>1.472868E-3</v>
      </c>
      <c r="D38" s="98">
        <v>0.99960219800000005</v>
      </c>
      <c r="E38" s="98">
        <v>30.6268806</v>
      </c>
      <c r="F38" s="98">
        <v>1.7652354830000001</v>
      </c>
      <c r="G38" s="98">
        <v>1.677987162</v>
      </c>
      <c r="H38" s="98">
        <v>1.077965085</v>
      </c>
      <c r="I38" s="98">
        <v>27.52675103</v>
      </c>
      <c r="J38" s="98">
        <v>0.85309508499999998</v>
      </c>
      <c r="K38" s="98">
        <v>5.28990603</v>
      </c>
      <c r="L38" s="98">
        <v>0.403625868</v>
      </c>
      <c r="M38" s="98">
        <v>1.5717643999999999E-2</v>
      </c>
      <c r="N38" s="98">
        <v>9.2357230819999998</v>
      </c>
      <c r="O38" s="98">
        <v>0.19226251599999999</v>
      </c>
      <c r="P38" s="98">
        <v>3.0351250730000001</v>
      </c>
      <c r="Q38" s="98">
        <v>3.813107E-3</v>
      </c>
      <c r="R38" s="98">
        <v>1.041623E-3</v>
      </c>
      <c r="S38" s="98">
        <v>3.5558773619999999</v>
      </c>
      <c r="T38" s="98">
        <v>9.1304636000000006</v>
      </c>
      <c r="U38" s="98">
        <v>24.847611400000002</v>
      </c>
      <c r="V38" s="98">
        <v>7.1424417499999997</v>
      </c>
      <c r="W38" s="98">
        <v>2.7185382900000001</v>
      </c>
      <c r="X38" s="98">
        <v>0.493928217</v>
      </c>
      <c r="Y38" s="98">
        <v>2.9415856599999999</v>
      </c>
      <c r="Z38" s="98">
        <v>158.33430100000001</v>
      </c>
      <c r="AA38" s="98">
        <v>61.663226999999999</v>
      </c>
      <c r="AB38" s="98">
        <v>24.781321500000001</v>
      </c>
      <c r="AC38" s="98">
        <v>0.39819075900000001</v>
      </c>
      <c r="AD38" s="98">
        <v>20.854690600000001</v>
      </c>
      <c r="AE38" s="98">
        <v>34.655721700000001</v>
      </c>
      <c r="AF38" s="98">
        <v>17.639034250000002</v>
      </c>
      <c r="AG38" s="98">
        <v>0.91221414499999998</v>
      </c>
      <c r="AH38" s="98">
        <v>23.825578230000001</v>
      </c>
      <c r="AI38" s="98">
        <v>6.0256967499999998</v>
      </c>
      <c r="AJ38" s="98">
        <v>7.2352922770000001</v>
      </c>
      <c r="AK38" s="98">
        <v>4.9703487999999997E-2</v>
      </c>
      <c r="AL38" s="98">
        <v>61.409458200000003</v>
      </c>
      <c r="AM38" s="98">
        <v>201.93068719999999</v>
      </c>
      <c r="AN38" s="98">
        <v>2.9809400749999999</v>
      </c>
      <c r="AO38" s="98">
        <v>159.08520859999999</v>
      </c>
      <c r="AP38" s="98">
        <v>164.2627066</v>
      </c>
      <c r="AQ38" s="98">
        <v>25.7737227</v>
      </c>
      <c r="AR38" s="98">
        <v>2.1887956559999999</v>
      </c>
      <c r="AS38" s="98">
        <v>0.15029997</v>
      </c>
      <c r="AT38" s="98">
        <v>1.4172314269999999</v>
      </c>
      <c r="AU38" s="98">
        <v>263.766594</v>
      </c>
      <c r="AV38" s="98">
        <v>7.00949943</v>
      </c>
      <c r="AW38" s="98">
        <v>4.5048630230000004</v>
      </c>
      <c r="AX38" s="98">
        <v>1.7430451170000001</v>
      </c>
      <c r="AY38" s="98">
        <v>5.5853247599999998</v>
      </c>
      <c r="AZ38" s="98">
        <v>1.013724364</v>
      </c>
      <c r="BA38" s="98">
        <v>1.985456203</v>
      </c>
      <c r="BB38" s="98">
        <v>0.64509335899999998</v>
      </c>
      <c r="BC38" s="98">
        <v>29.438908139999999</v>
      </c>
      <c r="BD38" s="98">
        <v>18.305653060000001</v>
      </c>
      <c r="BE38" s="98">
        <v>23.878498330999999</v>
      </c>
      <c r="BF38" s="98">
        <v>40.508966940000001</v>
      </c>
      <c r="BG38" s="98">
        <v>0</v>
      </c>
      <c r="BH38" s="98">
        <v>0</v>
      </c>
      <c r="BI38" s="98">
        <v>0</v>
      </c>
      <c r="BJ38" s="98">
        <v>0</v>
      </c>
      <c r="BK38" s="98">
        <v>359.9145853</v>
      </c>
      <c r="BL38" s="98">
        <v>5.71854E-4</v>
      </c>
      <c r="BM38" s="98">
        <v>326.99086</v>
      </c>
      <c r="BN38" s="98">
        <v>0</v>
      </c>
      <c r="BO38" s="98">
        <v>0</v>
      </c>
      <c r="BP38" s="98">
        <v>0</v>
      </c>
      <c r="BQ38" s="98">
        <v>0</v>
      </c>
      <c r="BR38" s="98">
        <v>0</v>
      </c>
      <c r="BS38" s="98">
        <v>0</v>
      </c>
      <c r="BT38" s="98">
        <v>1159.3490729929999</v>
      </c>
      <c r="BU38" s="98">
        <v>0</v>
      </c>
      <c r="BV38" s="98">
        <v>0</v>
      </c>
      <c r="BW38" s="82">
        <v>0</v>
      </c>
      <c r="BX38" s="100"/>
    </row>
    <row r="39" spans="1:76">
      <c r="A39" s="101" t="s">
        <v>853</v>
      </c>
      <c r="B39" s="98">
        <v>0.59230538399999999</v>
      </c>
      <c r="C39" s="98">
        <v>1.336439E-3</v>
      </c>
      <c r="D39" s="98">
        <v>0.78463000299999996</v>
      </c>
      <c r="E39" s="98">
        <v>6.7743583239999996</v>
      </c>
      <c r="F39" s="98">
        <v>0.43852940299999998</v>
      </c>
      <c r="G39" s="98">
        <v>1.257001348</v>
      </c>
      <c r="H39" s="98">
        <v>5.9344299000000003E-2</v>
      </c>
      <c r="I39" s="98">
        <v>6.7902268059999997</v>
      </c>
      <c r="J39" s="98">
        <v>0.57068359300000004</v>
      </c>
      <c r="K39" s="98">
        <v>7.3076799709999998</v>
      </c>
      <c r="L39" s="98">
        <v>0.20000240499999999</v>
      </c>
      <c r="M39" s="98">
        <v>4.4768179999999996E-3</v>
      </c>
      <c r="N39" s="98">
        <v>3.0081650550000001</v>
      </c>
      <c r="O39" s="98">
        <v>1.8904751339999999</v>
      </c>
      <c r="P39" s="98">
        <v>4.6057740349999996</v>
      </c>
      <c r="Q39" s="98">
        <v>1.9740958959999999</v>
      </c>
      <c r="R39" s="98">
        <v>9.2563129740000001</v>
      </c>
      <c r="S39" s="98">
        <v>44.981386377</v>
      </c>
      <c r="T39" s="98">
        <v>2.1915117799999999</v>
      </c>
      <c r="U39" s="98">
        <v>6.4184754359999996</v>
      </c>
      <c r="V39" s="98">
        <v>1.2296522560000001</v>
      </c>
      <c r="W39" s="98">
        <v>0.63490821099999994</v>
      </c>
      <c r="X39" s="98">
        <v>0.37154854799999998</v>
      </c>
      <c r="Y39" s="98">
        <v>2.4099315680000002</v>
      </c>
      <c r="Z39" s="98">
        <v>18.860974473999999</v>
      </c>
      <c r="AA39" s="98">
        <v>19.298602067000001</v>
      </c>
      <c r="AB39" s="98">
        <v>6.9367674829999997</v>
      </c>
      <c r="AC39" s="98">
        <v>9.3397211720000008</v>
      </c>
      <c r="AD39" s="98">
        <v>6.6919886689999997</v>
      </c>
      <c r="AE39" s="98">
        <v>19.389700677</v>
      </c>
      <c r="AF39" s="98">
        <v>10.578627842</v>
      </c>
      <c r="AG39" s="98">
        <v>1.0386755299999999</v>
      </c>
      <c r="AH39" s="98">
        <v>18.959306574999999</v>
      </c>
      <c r="AI39" s="98">
        <v>15.600217965000001</v>
      </c>
      <c r="AJ39" s="98">
        <v>1.1510001910000001</v>
      </c>
      <c r="AK39" s="98">
        <v>0.64673874600000003</v>
      </c>
      <c r="AL39" s="98">
        <v>6.2726141110000002</v>
      </c>
      <c r="AM39" s="98">
        <v>2620.8890419999998</v>
      </c>
      <c r="AN39" s="98">
        <v>10.892532578000001</v>
      </c>
      <c r="AO39" s="98">
        <v>27.21696013</v>
      </c>
      <c r="AP39" s="98">
        <v>40.674974571</v>
      </c>
      <c r="AQ39" s="98">
        <v>22.166146492999999</v>
      </c>
      <c r="AR39" s="98">
        <v>4.7396472950000001</v>
      </c>
      <c r="AS39" s="98">
        <v>1.6452667780000001</v>
      </c>
      <c r="AT39" s="98">
        <v>3.4887727069999999</v>
      </c>
      <c r="AU39" s="98">
        <v>62.926297462000001</v>
      </c>
      <c r="AV39" s="98">
        <v>63.781591921999997</v>
      </c>
      <c r="AW39" s="98">
        <v>1340.3774688999999</v>
      </c>
      <c r="AX39" s="98">
        <v>88.88361802</v>
      </c>
      <c r="AY39" s="98">
        <v>412.74739572999999</v>
      </c>
      <c r="AZ39" s="98">
        <v>3.5380747299999999</v>
      </c>
      <c r="BA39" s="98">
        <v>25.186019968</v>
      </c>
      <c r="BB39" s="98">
        <v>3.405596402</v>
      </c>
      <c r="BC39" s="98">
        <v>19.392968381999999</v>
      </c>
      <c r="BD39" s="98">
        <v>5.9605675109999998</v>
      </c>
      <c r="BE39" s="98">
        <v>183.62217031200001</v>
      </c>
      <c r="BF39" s="98">
        <v>1.9651157999999998E-2</v>
      </c>
      <c r="BG39" s="98">
        <v>0</v>
      </c>
      <c r="BH39" s="98">
        <v>0</v>
      </c>
      <c r="BI39" s="98">
        <v>0</v>
      </c>
      <c r="BJ39" s="98">
        <v>0</v>
      </c>
      <c r="BK39" s="98">
        <v>3950.193843</v>
      </c>
      <c r="BL39" s="98">
        <v>2.803435E-3</v>
      </c>
      <c r="BM39" s="98">
        <v>2496.797427</v>
      </c>
      <c r="BN39" s="98">
        <v>0</v>
      </c>
      <c r="BO39" s="98">
        <v>0</v>
      </c>
      <c r="BP39" s="98">
        <v>0</v>
      </c>
      <c r="BQ39" s="98">
        <v>0</v>
      </c>
      <c r="BR39" s="98">
        <v>0</v>
      </c>
      <c r="BS39" s="98">
        <v>0</v>
      </c>
      <c r="BT39" s="98">
        <v>1802.973799677</v>
      </c>
      <c r="BU39" s="98">
        <v>0</v>
      </c>
      <c r="BV39" s="98">
        <v>0</v>
      </c>
      <c r="BW39" s="82">
        <v>0</v>
      </c>
      <c r="BX39" s="100"/>
    </row>
    <row r="40" spans="1:76">
      <c r="A40" s="101" t="s">
        <v>854</v>
      </c>
      <c r="B40" s="98">
        <v>9.6521990000000002E-3</v>
      </c>
      <c r="C40" s="98">
        <v>5.4129999999999997E-6</v>
      </c>
      <c r="D40" s="98">
        <v>2.8987549999999998E-3</v>
      </c>
      <c r="E40" s="98">
        <v>5.9817990000000003E-3</v>
      </c>
      <c r="F40" s="98">
        <v>1.100813E-3</v>
      </c>
      <c r="G40" s="98">
        <v>3.0131400000000001E-3</v>
      </c>
      <c r="H40" s="98">
        <v>1.1800459999999999E-3</v>
      </c>
      <c r="I40" s="98">
        <v>7.8624679999999992E-3</v>
      </c>
      <c r="J40" s="98">
        <v>5.0296599999999998E-4</v>
      </c>
      <c r="K40" s="98">
        <v>6.3628449999999998E-3</v>
      </c>
      <c r="L40" s="98">
        <v>4.0402100000000001E-4</v>
      </c>
      <c r="M40" s="98">
        <v>3.6316000000000003E-5</v>
      </c>
      <c r="N40" s="98">
        <v>8.6854599999999999E-4</v>
      </c>
      <c r="O40" s="98">
        <v>38.733339725999997</v>
      </c>
      <c r="P40" s="98">
        <v>8.1984970000000008E-3</v>
      </c>
      <c r="Q40" s="98">
        <v>1.909320753</v>
      </c>
      <c r="R40" s="98">
        <v>1.846318543</v>
      </c>
      <c r="S40" s="98">
        <v>8.4667040000000002E-3</v>
      </c>
      <c r="T40" s="98">
        <v>2.6996799999999999E-4</v>
      </c>
      <c r="U40" s="98">
        <v>1.05882E-3</v>
      </c>
      <c r="V40" s="98">
        <v>1.4956559999999999E-3</v>
      </c>
      <c r="W40" s="98">
        <v>2.1633399999999999E-4</v>
      </c>
      <c r="X40" s="98">
        <v>2.5084479999999999E-3</v>
      </c>
      <c r="Y40" s="98">
        <v>9.3961900000000004E-4</v>
      </c>
      <c r="Z40" s="98">
        <v>1.940331E-3</v>
      </c>
      <c r="AA40" s="98">
        <v>3.2777100000000001E-3</v>
      </c>
      <c r="AB40" s="98">
        <v>4.3095629999999998E-3</v>
      </c>
      <c r="AC40" s="98">
        <v>5.0461450000000001E-3</v>
      </c>
      <c r="AD40" s="98">
        <v>1.0831110000000001E-3</v>
      </c>
      <c r="AE40" s="98">
        <v>2.1058251E-2</v>
      </c>
      <c r="AF40" s="98">
        <v>4.4159869999999997E-3</v>
      </c>
      <c r="AG40" s="98">
        <v>3.0944799999999998E-4</v>
      </c>
      <c r="AH40" s="98">
        <v>7.2687000000000003E-3</v>
      </c>
      <c r="AI40" s="98">
        <v>7.5640799999999999E-3</v>
      </c>
      <c r="AJ40" s="98">
        <v>6.1076499999999998E-4</v>
      </c>
      <c r="AK40" s="98">
        <v>2.9232599999999998E-4</v>
      </c>
      <c r="AL40" s="98">
        <v>1.723112E-3</v>
      </c>
      <c r="AM40" s="98">
        <v>9.9894739999999999E-3</v>
      </c>
      <c r="AN40" s="98">
        <v>455.36687819999997</v>
      </c>
      <c r="AO40" s="98">
        <v>1.9870116E-2</v>
      </c>
      <c r="AP40" s="98">
        <v>3.5231633999999998E-2</v>
      </c>
      <c r="AQ40" s="98">
        <v>1.1817219E-2</v>
      </c>
      <c r="AR40" s="98">
        <v>4.7663669999999997E-3</v>
      </c>
      <c r="AS40" s="98">
        <v>2.6889500000000001E-4</v>
      </c>
      <c r="AT40" s="98">
        <v>7.8704899999999995E-4</v>
      </c>
      <c r="AU40" s="98">
        <v>0.101069519</v>
      </c>
      <c r="AV40" s="98">
        <v>0.108085346</v>
      </c>
      <c r="AW40" s="98">
        <v>65.366075499999994</v>
      </c>
      <c r="AX40" s="98">
        <v>38.881208399999998</v>
      </c>
      <c r="AY40" s="98">
        <v>128.1761932</v>
      </c>
      <c r="AZ40" s="98">
        <v>1.0379704999999999E-2</v>
      </c>
      <c r="BA40" s="98">
        <v>8.3851900000000003E-4</v>
      </c>
      <c r="BB40" s="98">
        <v>1.6097609999999999E-3</v>
      </c>
      <c r="BC40" s="98">
        <v>3.8813068999999999E-2</v>
      </c>
      <c r="BD40" s="98">
        <v>7.0396290000000004E-3</v>
      </c>
      <c r="BE40" s="98">
        <v>2.998982351</v>
      </c>
      <c r="BF40" s="98">
        <v>1.1259E-5</v>
      </c>
      <c r="BG40" s="98">
        <v>0</v>
      </c>
      <c r="BH40" s="98">
        <v>0</v>
      </c>
      <c r="BI40" s="98">
        <v>0</v>
      </c>
      <c r="BJ40" s="98">
        <v>0</v>
      </c>
      <c r="BK40" s="98">
        <v>2.6951067430000002</v>
      </c>
      <c r="BL40" s="98">
        <v>4.2631400000000001E-4</v>
      </c>
      <c r="BM40" s="98">
        <v>1062.6610341000001</v>
      </c>
      <c r="BN40" s="98">
        <v>0</v>
      </c>
      <c r="BO40" s="98">
        <v>0</v>
      </c>
      <c r="BP40" s="98">
        <v>0</v>
      </c>
      <c r="BQ40" s="98">
        <v>0</v>
      </c>
      <c r="BR40" s="98">
        <v>0</v>
      </c>
      <c r="BS40" s="98">
        <v>0</v>
      </c>
      <c r="BT40" s="98">
        <v>481.70159108799999</v>
      </c>
      <c r="BU40" s="98">
        <v>0</v>
      </c>
      <c r="BV40" s="98">
        <v>0</v>
      </c>
      <c r="BW40" s="82">
        <v>0</v>
      </c>
      <c r="BX40" s="100"/>
    </row>
    <row r="41" spans="1:76">
      <c r="A41" s="101" t="s">
        <v>855</v>
      </c>
      <c r="B41" s="98">
        <v>2.5509700000000001E-3</v>
      </c>
      <c r="C41" s="98">
        <v>2.6100000000000002E-7</v>
      </c>
      <c r="D41" s="98">
        <v>1.7324500000000001E-4</v>
      </c>
      <c r="E41" s="98">
        <v>0.11179249300000001</v>
      </c>
      <c r="F41" s="98">
        <v>7.4829509999999998E-3</v>
      </c>
      <c r="G41" s="98">
        <v>6.6899699999999995E-4</v>
      </c>
      <c r="H41" s="98">
        <v>7.7317E-4</v>
      </c>
      <c r="I41" s="98">
        <v>0.111926795</v>
      </c>
      <c r="J41" s="98">
        <v>0.151401814</v>
      </c>
      <c r="K41" s="98">
        <v>1.9389371849999999</v>
      </c>
      <c r="L41" s="98">
        <v>5.2780924999999999E-2</v>
      </c>
      <c r="M41" s="98">
        <v>1.1986729999999999E-3</v>
      </c>
      <c r="N41" s="98">
        <v>0.56173499100000002</v>
      </c>
      <c r="O41" s="98">
        <v>1.310829596</v>
      </c>
      <c r="P41" s="98">
        <v>0.27008974099999999</v>
      </c>
      <c r="Q41" s="98">
        <v>9.6334157089999994</v>
      </c>
      <c r="R41" s="98">
        <v>6.3087150400000001</v>
      </c>
      <c r="S41" s="98">
        <v>0.40738608599999998</v>
      </c>
      <c r="T41" s="98">
        <v>0.13207158499999999</v>
      </c>
      <c r="U41" s="98">
        <v>0.38728869199999999</v>
      </c>
      <c r="V41" s="98">
        <v>8.2873403999999998E-2</v>
      </c>
      <c r="W41" s="98">
        <v>3.8338144999999997E-2</v>
      </c>
      <c r="X41" s="98">
        <v>8.4008621000000006E-2</v>
      </c>
      <c r="Y41" s="98">
        <v>0.29527787900000002</v>
      </c>
      <c r="Z41" s="98">
        <v>1.625871375</v>
      </c>
      <c r="AA41" s="98">
        <v>1.7911199790000001</v>
      </c>
      <c r="AB41" s="98">
        <v>3.1801660620000001</v>
      </c>
      <c r="AC41" s="98">
        <v>2.5375251749999999</v>
      </c>
      <c r="AD41" s="98">
        <v>1.222945108</v>
      </c>
      <c r="AE41" s="98">
        <v>1.7008455339999999</v>
      </c>
      <c r="AF41" s="98">
        <v>0.55100158300000002</v>
      </c>
      <c r="AG41" s="98">
        <v>8.9228330999999994E-2</v>
      </c>
      <c r="AH41" s="98">
        <v>2.3795868119999999</v>
      </c>
      <c r="AI41" s="98">
        <v>3.1012042320000002</v>
      </c>
      <c r="AJ41" s="98">
        <v>0.86025885899999999</v>
      </c>
      <c r="AK41" s="98">
        <v>5.9748606000000003E-2</v>
      </c>
      <c r="AL41" s="98">
        <v>1.74844372</v>
      </c>
      <c r="AM41" s="98">
        <v>696.53747599999997</v>
      </c>
      <c r="AN41" s="98">
        <v>5.8670077300000001</v>
      </c>
      <c r="AO41" s="98">
        <v>12198.422839999999</v>
      </c>
      <c r="AP41" s="98">
        <v>141.07757570000001</v>
      </c>
      <c r="AQ41" s="98">
        <v>5.3600688219999997</v>
      </c>
      <c r="AR41" s="98">
        <v>58.352167569999999</v>
      </c>
      <c r="AS41" s="98">
        <v>1.932692504</v>
      </c>
      <c r="AT41" s="98">
        <v>3.1240345089999999</v>
      </c>
      <c r="AU41" s="98">
        <v>384.39739989999998</v>
      </c>
      <c r="AV41" s="98">
        <v>31.831348940000002</v>
      </c>
      <c r="AW41" s="98">
        <v>34.161940549999997</v>
      </c>
      <c r="AX41" s="98">
        <v>2.5316030999999999</v>
      </c>
      <c r="AY41" s="98">
        <v>9.0216541299999999</v>
      </c>
      <c r="AZ41" s="98">
        <v>6.5326085100000002</v>
      </c>
      <c r="BA41" s="98">
        <v>56.1277781</v>
      </c>
      <c r="BB41" s="98">
        <v>10.03542566</v>
      </c>
      <c r="BC41" s="98">
        <v>211.14864320000001</v>
      </c>
      <c r="BD41" s="98">
        <v>38.080616999999997</v>
      </c>
      <c r="BE41" s="98">
        <v>36.681787251999999</v>
      </c>
      <c r="BF41" s="98">
        <v>0.58403274500000002</v>
      </c>
      <c r="BG41" s="98">
        <v>0</v>
      </c>
      <c r="BH41" s="98">
        <v>0</v>
      </c>
      <c r="BI41" s="98">
        <v>0</v>
      </c>
      <c r="BJ41" s="98">
        <v>0</v>
      </c>
      <c r="BK41" s="98">
        <v>1299.617524</v>
      </c>
      <c r="BL41" s="98">
        <v>1.123888E-3</v>
      </c>
      <c r="BM41" s="98">
        <v>2382.28015</v>
      </c>
      <c r="BN41" s="98">
        <v>0</v>
      </c>
      <c r="BO41" s="98">
        <v>0</v>
      </c>
      <c r="BP41" s="98">
        <v>0</v>
      </c>
      <c r="BQ41" s="98">
        <v>0</v>
      </c>
      <c r="BR41" s="98">
        <v>0</v>
      </c>
      <c r="BS41" s="98">
        <v>0</v>
      </c>
      <c r="BT41" s="98">
        <v>19331.076267741999</v>
      </c>
      <c r="BU41" s="98">
        <v>0</v>
      </c>
      <c r="BV41" s="98">
        <v>0</v>
      </c>
      <c r="BW41" s="82">
        <v>0</v>
      </c>
      <c r="BX41" s="100"/>
    </row>
    <row r="42" spans="1:76">
      <c r="A42" s="101" t="s">
        <v>856</v>
      </c>
      <c r="B42" s="98">
        <v>20.417307214000001</v>
      </c>
      <c r="C42" s="98">
        <v>6.0959439999999998E-3</v>
      </c>
      <c r="D42" s="98">
        <v>3.5857255719999999</v>
      </c>
      <c r="E42" s="98">
        <v>16.184629176000001</v>
      </c>
      <c r="F42" s="98">
        <v>1.047393397</v>
      </c>
      <c r="G42" s="98">
        <v>5.701091999</v>
      </c>
      <c r="H42" s="98">
        <v>0.564348038</v>
      </c>
      <c r="I42" s="98">
        <v>16.099669613</v>
      </c>
      <c r="J42" s="98">
        <v>0.50552657300000003</v>
      </c>
      <c r="K42" s="98">
        <v>6.4631012390000002</v>
      </c>
      <c r="L42" s="98">
        <v>0.176357755</v>
      </c>
      <c r="M42" s="98">
        <v>3.9503999999999997E-3</v>
      </c>
      <c r="N42" s="98">
        <v>6.2301142690000004</v>
      </c>
      <c r="O42" s="98">
        <v>6.2686647779999998</v>
      </c>
      <c r="P42" s="98">
        <v>32.018396899999999</v>
      </c>
      <c r="Q42" s="98">
        <v>50.6719589</v>
      </c>
      <c r="R42" s="98">
        <v>19.073741439999999</v>
      </c>
      <c r="S42" s="98">
        <v>16.742819789999999</v>
      </c>
      <c r="T42" s="98">
        <v>3.1235117909999999</v>
      </c>
      <c r="U42" s="98">
        <v>8.7278528200000007</v>
      </c>
      <c r="V42" s="98">
        <v>5.2072029200000003</v>
      </c>
      <c r="W42" s="98">
        <v>0.92154663800000003</v>
      </c>
      <c r="X42" s="98">
        <v>17.743124478999999</v>
      </c>
      <c r="Y42" s="98">
        <v>88.364951199999993</v>
      </c>
      <c r="Z42" s="98">
        <v>56.0561924</v>
      </c>
      <c r="AA42" s="98">
        <v>35.889148749</v>
      </c>
      <c r="AB42" s="98">
        <v>171.27417349999999</v>
      </c>
      <c r="AC42" s="98">
        <v>22.03482794</v>
      </c>
      <c r="AD42" s="98">
        <v>20.456323601000001</v>
      </c>
      <c r="AE42" s="98">
        <v>101.66181570000001</v>
      </c>
      <c r="AF42" s="98">
        <v>53.184614199999999</v>
      </c>
      <c r="AG42" s="98">
        <v>3.8570698650000002</v>
      </c>
      <c r="AH42" s="98">
        <v>105.6577358</v>
      </c>
      <c r="AI42" s="98">
        <v>87.872924800000007</v>
      </c>
      <c r="AJ42" s="98">
        <v>61.857398099999997</v>
      </c>
      <c r="AK42" s="98">
        <v>3.1147523750000001</v>
      </c>
      <c r="AL42" s="98">
        <v>22.248325959999999</v>
      </c>
      <c r="AM42" s="98">
        <v>957.89123600000005</v>
      </c>
      <c r="AN42" s="98">
        <v>28.366426969999999</v>
      </c>
      <c r="AO42" s="98">
        <v>240.3568501</v>
      </c>
      <c r="AP42" s="98">
        <v>5874.9053320000003</v>
      </c>
      <c r="AQ42" s="98">
        <v>26.384512034</v>
      </c>
      <c r="AR42" s="98">
        <v>24.521175324000001</v>
      </c>
      <c r="AS42" s="98">
        <v>0.30604081599999999</v>
      </c>
      <c r="AT42" s="98">
        <v>1.963556718</v>
      </c>
      <c r="AU42" s="98">
        <v>204.6221889</v>
      </c>
      <c r="AV42" s="98">
        <v>0.49588579399999999</v>
      </c>
      <c r="AW42" s="98">
        <v>24.693350682999998</v>
      </c>
      <c r="AX42" s="98">
        <v>6.4665955820000001</v>
      </c>
      <c r="AY42" s="98">
        <v>40.685948142000001</v>
      </c>
      <c r="AZ42" s="98">
        <v>0.462066582</v>
      </c>
      <c r="BA42" s="98">
        <v>8.1423818999999995E-2</v>
      </c>
      <c r="BB42" s="98">
        <v>1.5668754999999999E-2</v>
      </c>
      <c r="BC42" s="98">
        <v>106.84876629999999</v>
      </c>
      <c r="BD42" s="98">
        <v>66.040691300000006</v>
      </c>
      <c r="BE42" s="98">
        <v>154.33300779999999</v>
      </c>
      <c r="BF42" s="98">
        <v>22.91318412</v>
      </c>
      <c r="BG42" s="98">
        <v>0</v>
      </c>
      <c r="BH42" s="98">
        <v>0</v>
      </c>
      <c r="BI42" s="98">
        <v>0</v>
      </c>
      <c r="BJ42" s="98">
        <v>0</v>
      </c>
      <c r="BK42" s="98">
        <v>782.71182199999998</v>
      </c>
      <c r="BL42" s="98">
        <v>1.0965180000000001E-3</v>
      </c>
      <c r="BM42" s="98">
        <v>5138.8968000000004</v>
      </c>
      <c r="BN42" s="98">
        <v>0</v>
      </c>
      <c r="BO42" s="98">
        <v>0</v>
      </c>
      <c r="BP42" s="98">
        <v>0</v>
      </c>
      <c r="BQ42" s="98">
        <v>0</v>
      </c>
      <c r="BR42" s="98">
        <v>0</v>
      </c>
      <c r="BS42" s="98">
        <v>0</v>
      </c>
      <c r="BT42" s="98">
        <v>9873.0710670850003</v>
      </c>
      <c r="BU42" s="98">
        <v>0</v>
      </c>
      <c r="BV42" s="98">
        <v>0</v>
      </c>
      <c r="BW42" s="82">
        <v>0</v>
      </c>
      <c r="BX42" s="100"/>
    </row>
    <row r="43" spans="1:76">
      <c r="A43" s="101" t="s">
        <v>857</v>
      </c>
      <c r="B43" s="98">
        <v>4.7495790000000003E-3</v>
      </c>
      <c r="C43" s="98">
        <v>4.8500000000000002E-7</v>
      </c>
      <c r="D43" s="98">
        <v>2.7285800000000001E-4</v>
      </c>
      <c r="E43" s="98">
        <v>0.38010728199999999</v>
      </c>
      <c r="F43" s="98">
        <v>2.5017211000000001E-2</v>
      </c>
      <c r="G43" s="98">
        <v>1.3257709999999999E-3</v>
      </c>
      <c r="H43" s="98">
        <v>1.3763709999999999E-3</v>
      </c>
      <c r="I43" s="98">
        <v>0.37969180899999999</v>
      </c>
      <c r="J43" s="98">
        <v>0.105021946</v>
      </c>
      <c r="K43" s="98">
        <v>0.88478565200000003</v>
      </c>
      <c r="L43" s="98">
        <v>4.9782370999999999E-2</v>
      </c>
      <c r="M43" s="98">
        <v>1.6132329999999999E-3</v>
      </c>
      <c r="N43" s="98">
        <v>0.22010184099999999</v>
      </c>
      <c r="O43" s="98">
        <v>0.56424966499999996</v>
      </c>
      <c r="P43" s="98">
        <v>0.112875715</v>
      </c>
      <c r="Q43" s="98">
        <v>0.18198362600000001</v>
      </c>
      <c r="R43" s="98">
        <v>0.84059075400000005</v>
      </c>
      <c r="S43" s="98">
        <v>0.551222235</v>
      </c>
      <c r="T43" s="98">
        <v>0.87734413099999997</v>
      </c>
      <c r="U43" s="98">
        <v>2.4452466359999998</v>
      </c>
      <c r="V43" s="98">
        <v>7.6061387999999994E-2</v>
      </c>
      <c r="W43" s="98">
        <v>0.25996085200000002</v>
      </c>
      <c r="X43" s="98">
        <v>0.57466666799999999</v>
      </c>
      <c r="Y43" s="98">
        <v>0.49377106100000001</v>
      </c>
      <c r="Z43" s="98">
        <v>2.2126586480000001</v>
      </c>
      <c r="AA43" s="98">
        <v>0.55056196499999999</v>
      </c>
      <c r="AB43" s="98">
        <v>20.9015679</v>
      </c>
      <c r="AC43" s="98">
        <v>209.2602153</v>
      </c>
      <c r="AD43" s="98">
        <v>78.388237000000004</v>
      </c>
      <c r="AE43" s="98">
        <v>2.4099860180000001</v>
      </c>
      <c r="AF43" s="98">
        <v>5.2233526750000001</v>
      </c>
      <c r="AG43" s="98">
        <v>0.12654605999999999</v>
      </c>
      <c r="AH43" s="98">
        <v>12.55889988</v>
      </c>
      <c r="AI43" s="98">
        <v>1.775727931</v>
      </c>
      <c r="AJ43" s="98">
        <v>1.106863052</v>
      </c>
      <c r="AK43" s="98">
        <v>0.226435676</v>
      </c>
      <c r="AL43" s="98">
        <v>2.5427852799999999</v>
      </c>
      <c r="AM43" s="98">
        <v>13.02101088</v>
      </c>
      <c r="AN43" s="98">
        <v>0.350176916</v>
      </c>
      <c r="AO43" s="98">
        <v>17.23358631</v>
      </c>
      <c r="AP43" s="98">
        <v>35.980513539999997</v>
      </c>
      <c r="AQ43" s="98">
        <v>1521.079956</v>
      </c>
      <c r="AR43" s="98">
        <v>1.8765212250000001</v>
      </c>
      <c r="AS43" s="98">
        <v>5.8016137000000002E-2</v>
      </c>
      <c r="AT43" s="98">
        <v>0.16918738</v>
      </c>
      <c r="AU43" s="98">
        <v>13.736088663</v>
      </c>
      <c r="AV43" s="98">
        <v>20.59295316</v>
      </c>
      <c r="AW43" s="98">
        <v>32.7508622</v>
      </c>
      <c r="AX43" s="98">
        <v>5.69530154</v>
      </c>
      <c r="AY43" s="98">
        <v>22.579302810000002</v>
      </c>
      <c r="AZ43" s="98">
        <v>1.9287946819999999</v>
      </c>
      <c r="BA43" s="98">
        <v>15.910817590000001</v>
      </c>
      <c r="BB43" s="98">
        <v>5.6302282799999999</v>
      </c>
      <c r="BC43" s="98">
        <v>14.381385809999999</v>
      </c>
      <c r="BD43" s="98">
        <v>29.10190441</v>
      </c>
      <c r="BE43" s="98">
        <v>159.93859860000001</v>
      </c>
      <c r="BF43" s="98">
        <v>6.4986124099999998</v>
      </c>
      <c r="BG43" s="98">
        <v>0</v>
      </c>
      <c r="BH43" s="98">
        <v>0</v>
      </c>
      <c r="BI43" s="98">
        <v>0</v>
      </c>
      <c r="BJ43" s="98">
        <v>0</v>
      </c>
      <c r="BK43" s="98">
        <v>2421.0246569999999</v>
      </c>
      <c r="BL43" s="98">
        <v>2.914715E-3</v>
      </c>
      <c r="BM43" s="98">
        <v>389.20691749999997</v>
      </c>
      <c r="BN43" s="98">
        <v>0</v>
      </c>
      <c r="BO43" s="98">
        <v>0</v>
      </c>
      <c r="BP43" s="98">
        <v>0</v>
      </c>
      <c r="BQ43" s="98">
        <v>0</v>
      </c>
      <c r="BR43" s="98">
        <v>0</v>
      </c>
      <c r="BS43" s="98">
        <v>0</v>
      </c>
      <c r="BT43" s="98">
        <v>3434.03467972</v>
      </c>
      <c r="BU43" s="98">
        <v>0</v>
      </c>
      <c r="BV43" s="98">
        <v>0</v>
      </c>
      <c r="BW43" s="82">
        <v>0</v>
      </c>
      <c r="BX43" s="100"/>
    </row>
    <row r="44" spans="1:76">
      <c r="A44" s="101" t="s">
        <v>858</v>
      </c>
      <c r="B44" s="98">
        <v>9.2416936000000005E-2</v>
      </c>
      <c r="C44" s="98">
        <v>3.3747000000000001E-5</v>
      </c>
      <c r="D44" s="98">
        <v>1.8014168000000001E-2</v>
      </c>
      <c r="E44" s="98">
        <v>0.31616760999999999</v>
      </c>
      <c r="F44" s="98">
        <v>2.0379174999999999E-2</v>
      </c>
      <c r="G44" s="98">
        <v>2.2903400000000001E-3</v>
      </c>
      <c r="H44" s="98">
        <v>1.4364239999999999E-3</v>
      </c>
      <c r="I44" s="98">
        <v>0.365924156</v>
      </c>
      <c r="J44" s="98">
        <v>0.690393971</v>
      </c>
      <c r="K44" s="98">
        <v>8.8972836229999999</v>
      </c>
      <c r="L44" s="98">
        <v>0.24432311700000001</v>
      </c>
      <c r="M44" s="98">
        <v>3.1883699999999998E-3</v>
      </c>
      <c r="N44" s="98">
        <v>0.109845832</v>
      </c>
      <c r="O44" s="98">
        <v>1.9944183680000001</v>
      </c>
      <c r="P44" s="98">
        <v>5.9647290000000002E-3</v>
      </c>
      <c r="Q44" s="98">
        <v>2.2982720000000001E-3</v>
      </c>
      <c r="R44" s="98">
        <v>5.1619379999999996E-3</v>
      </c>
      <c r="S44" s="98">
        <v>22.090537556000001</v>
      </c>
      <c r="T44" s="98">
        <v>11.581296865000001</v>
      </c>
      <c r="U44" s="98">
        <v>36.808665945000001</v>
      </c>
      <c r="V44" s="98">
        <v>12.416173303000001</v>
      </c>
      <c r="W44" s="98">
        <v>3.486797149</v>
      </c>
      <c r="X44" s="98">
        <v>36.054448456000003</v>
      </c>
      <c r="Y44" s="98">
        <v>13.919413454000001</v>
      </c>
      <c r="Z44" s="98">
        <v>248.80136873800001</v>
      </c>
      <c r="AA44" s="98">
        <v>37.832859566000003</v>
      </c>
      <c r="AB44" s="98">
        <v>345.21926123600002</v>
      </c>
      <c r="AC44" s="98">
        <v>72.075998408999993</v>
      </c>
      <c r="AD44" s="98">
        <v>21.642433179000001</v>
      </c>
      <c r="AE44" s="98">
        <v>48.485607287000001</v>
      </c>
      <c r="AF44" s="98">
        <v>90.256106630000005</v>
      </c>
      <c r="AG44" s="98">
        <v>2.9519898999999999E-2</v>
      </c>
      <c r="AH44" s="98">
        <v>406.96400875</v>
      </c>
      <c r="AI44" s="98">
        <v>415.76262161699998</v>
      </c>
      <c r="AJ44" s="98">
        <v>251.043754374</v>
      </c>
      <c r="AK44" s="98">
        <v>1.918143004</v>
      </c>
      <c r="AL44" s="98">
        <v>39.773606907000001</v>
      </c>
      <c r="AM44" s="98">
        <v>27.839829551000001</v>
      </c>
      <c r="AN44" s="98">
        <v>0.75404001399999998</v>
      </c>
      <c r="AO44" s="98">
        <v>223.69957959600001</v>
      </c>
      <c r="AP44" s="98">
        <v>163.238318932</v>
      </c>
      <c r="AQ44" s="98">
        <v>17.539246869999999</v>
      </c>
      <c r="AR44" s="98">
        <v>845.01317790999997</v>
      </c>
      <c r="AS44" s="98">
        <v>1.5573735E-2</v>
      </c>
      <c r="AT44" s="98">
        <v>140.64470989</v>
      </c>
      <c r="AU44" s="98">
        <v>21.225393434000001</v>
      </c>
      <c r="AV44" s="98">
        <v>0.304505356</v>
      </c>
      <c r="AW44" s="98">
        <v>0.113134595</v>
      </c>
      <c r="AX44" s="98">
        <v>3.9835629999999999E-3</v>
      </c>
      <c r="AY44" s="98">
        <v>3.0030674E-2</v>
      </c>
      <c r="AZ44" s="98">
        <v>49.868385865999997</v>
      </c>
      <c r="BA44" s="98">
        <v>198.55585981600001</v>
      </c>
      <c r="BB44" s="98">
        <v>44.710922318999998</v>
      </c>
      <c r="BC44" s="98">
        <v>261.02774922100002</v>
      </c>
      <c r="BD44" s="98">
        <v>710.45232611400002</v>
      </c>
      <c r="BE44" s="98">
        <v>780.27371422099998</v>
      </c>
      <c r="BF44" s="98">
        <v>0.27564491800000002</v>
      </c>
      <c r="BG44" s="98">
        <v>0</v>
      </c>
      <c r="BH44" s="98">
        <v>0</v>
      </c>
      <c r="BI44" s="98">
        <v>0</v>
      </c>
      <c r="BJ44" s="98">
        <v>0</v>
      </c>
      <c r="BK44" s="98">
        <v>1305.9084809999999</v>
      </c>
      <c r="BL44" s="98">
        <v>2.3300000000000001E-7</v>
      </c>
      <c r="BM44" s="98">
        <v>9.4300000000000001E-7</v>
      </c>
      <c r="BN44" s="98">
        <v>0</v>
      </c>
      <c r="BO44" s="98">
        <v>0</v>
      </c>
      <c r="BP44" s="98">
        <v>0</v>
      </c>
      <c r="BQ44" s="98">
        <v>0</v>
      </c>
      <c r="BR44" s="98">
        <v>0</v>
      </c>
      <c r="BS44" s="98">
        <v>0</v>
      </c>
      <c r="BT44" s="98">
        <v>7.4655302509999997</v>
      </c>
      <c r="BU44" s="98">
        <v>0</v>
      </c>
      <c r="BV44" s="98">
        <v>0</v>
      </c>
      <c r="BW44" s="82">
        <v>0</v>
      </c>
      <c r="BX44" s="100"/>
    </row>
    <row r="45" spans="1:76">
      <c r="A45" s="101" t="s">
        <v>859</v>
      </c>
      <c r="B45" s="98">
        <v>6.0990999999999999E-5</v>
      </c>
      <c r="C45" s="98">
        <v>6E-9</v>
      </c>
      <c r="D45" s="98">
        <v>1.575E-6</v>
      </c>
      <c r="E45" s="98">
        <v>8.9679000000000007E-5</v>
      </c>
      <c r="F45" s="98">
        <v>5.3650000000000003E-6</v>
      </c>
      <c r="G45" s="98">
        <v>5.2499999999999995E-7</v>
      </c>
      <c r="H45" s="98">
        <v>6.4000000000000001E-7</v>
      </c>
      <c r="I45" s="98">
        <v>1.4851999999999999E-5</v>
      </c>
      <c r="J45" s="98">
        <v>6.0838000000000003E-5</v>
      </c>
      <c r="K45" s="98">
        <v>7.5759500000000001E-4</v>
      </c>
      <c r="L45" s="98">
        <v>1.4932999999999999E-5</v>
      </c>
      <c r="M45" s="98">
        <v>2.948E-6</v>
      </c>
      <c r="N45" s="98">
        <v>7.5490000000000001E-6</v>
      </c>
      <c r="O45" s="98">
        <v>4.8226399999999999E-4</v>
      </c>
      <c r="P45" s="98">
        <v>5.8137000000000003E-5</v>
      </c>
      <c r="Q45" s="98">
        <v>2.3490199999999999E-4</v>
      </c>
      <c r="R45" s="98">
        <v>0.44237726999999999</v>
      </c>
      <c r="S45" s="98">
        <v>1.1933534130000001</v>
      </c>
      <c r="T45" s="98">
        <v>0.223687621</v>
      </c>
      <c r="U45" s="98">
        <v>0.473539922</v>
      </c>
      <c r="V45" s="98">
        <v>0.33325067400000002</v>
      </c>
      <c r="W45" s="98">
        <v>5.1842552E-2</v>
      </c>
      <c r="X45" s="98">
        <v>0.82268054099999999</v>
      </c>
      <c r="Y45" s="98">
        <v>0.11900889200000001</v>
      </c>
      <c r="Z45" s="98">
        <v>4.2188139079999996</v>
      </c>
      <c r="AA45" s="98">
        <v>0.60601664200000005</v>
      </c>
      <c r="AB45" s="98">
        <v>0.92659831299999995</v>
      </c>
      <c r="AC45" s="98">
        <v>0.20656213300000001</v>
      </c>
      <c r="AD45" s="98">
        <v>7.7419542999999993E-2</v>
      </c>
      <c r="AE45" s="98">
        <v>1.1622155970000001</v>
      </c>
      <c r="AF45" s="98">
        <v>8.0673752289999996</v>
      </c>
      <c r="AG45" s="98">
        <v>3.1139570000000001E-3</v>
      </c>
      <c r="AH45" s="98">
        <v>11.335822726</v>
      </c>
      <c r="AI45" s="98">
        <v>0.94196743000000005</v>
      </c>
      <c r="AJ45" s="98">
        <v>45.755867068999997</v>
      </c>
      <c r="AK45" s="98">
        <v>0.106978051</v>
      </c>
      <c r="AL45" s="98">
        <v>0.66223657400000002</v>
      </c>
      <c r="AM45" s="98">
        <v>0.90160733500000001</v>
      </c>
      <c r="AN45" s="98">
        <v>4.6382245000000002E-2</v>
      </c>
      <c r="AO45" s="98">
        <v>3.9107382589999999</v>
      </c>
      <c r="AP45" s="98">
        <v>1.6002553749999999</v>
      </c>
      <c r="AQ45" s="98">
        <v>0.45070022300000001</v>
      </c>
      <c r="AR45" s="98">
        <v>380.90972052199999</v>
      </c>
      <c r="AS45" s="98">
        <v>22.018601798999999</v>
      </c>
      <c r="AT45" s="98">
        <v>8.5825180000000008E-3</v>
      </c>
      <c r="AU45" s="98">
        <v>12.493558926</v>
      </c>
      <c r="AV45" s="98">
        <v>0.59116685400000002</v>
      </c>
      <c r="AW45" s="98">
        <v>7.6431035999999994E-2</v>
      </c>
      <c r="AX45" s="98">
        <v>5.2286340000000002E-3</v>
      </c>
      <c r="AY45" s="98">
        <v>2.8671736E-2</v>
      </c>
      <c r="AZ45" s="98">
        <v>1.057529E-3</v>
      </c>
      <c r="BA45" s="98">
        <v>3.6190829999999999E-3</v>
      </c>
      <c r="BB45" s="98">
        <v>1.5362900000000001E-3</v>
      </c>
      <c r="BC45" s="98">
        <v>8.7134580000000003E-3</v>
      </c>
      <c r="BD45" s="98">
        <v>8.6680338999999995E-2</v>
      </c>
      <c r="BE45" s="98">
        <v>2.3945411999999999E-2</v>
      </c>
      <c r="BF45" s="98">
        <v>1.6753243000000001E-2</v>
      </c>
      <c r="BG45" s="98">
        <v>0</v>
      </c>
      <c r="BH45" s="98">
        <v>0</v>
      </c>
      <c r="BI45" s="98">
        <v>0</v>
      </c>
      <c r="BJ45" s="98">
        <v>0</v>
      </c>
      <c r="BK45" s="98">
        <v>0.115264089</v>
      </c>
      <c r="BL45" s="98">
        <v>5.9999999999999995E-8</v>
      </c>
      <c r="BM45" s="98">
        <v>1.6270000000000001E-6</v>
      </c>
      <c r="BN45" s="98">
        <v>0</v>
      </c>
      <c r="BO45" s="98">
        <v>0</v>
      </c>
      <c r="BP45" s="98">
        <v>0</v>
      </c>
      <c r="BQ45" s="98">
        <v>0</v>
      </c>
      <c r="BR45" s="98">
        <v>0</v>
      </c>
      <c r="BS45" s="98">
        <v>0</v>
      </c>
      <c r="BT45" s="98">
        <v>0.124572341</v>
      </c>
      <c r="BU45" s="98">
        <v>0</v>
      </c>
      <c r="BV45" s="98">
        <v>0</v>
      </c>
      <c r="BW45" s="82">
        <v>0</v>
      </c>
      <c r="BX45" s="100"/>
    </row>
    <row r="46" spans="1:76">
      <c r="A46" s="101" t="s">
        <v>860</v>
      </c>
      <c r="B46" s="98">
        <v>6.4246393999999998E-2</v>
      </c>
      <c r="C46" s="98">
        <v>3.9219999999999999E-6</v>
      </c>
      <c r="D46" s="98">
        <v>3.7067430000000002E-3</v>
      </c>
      <c r="E46" s="98">
        <v>0.119297731</v>
      </c>
      <c r="F46" s="98">
        <v>8.5316869999999996E-3</v>
      </c>
      <c r="G46" s="98">
        <v>9.2766099999999998E-4</v>
      </c>
      <c r="H46" s="98">
        <v>6.7314499999999999E-4</v>
      </c>
      <c r="I46" s="98">
        <v>9.0019482999999997E-2</v>
      </c>
      <c r="J46" s="98">
        <v>4.6495518E-2</v>
      </c>
      <c r="K46" s="98">
        <v>0.49421972600000003</v>
      </c>
      <c r="L46" s="98">
        <v>1.5419939000000001E-2</v>
      </c>
      <c r="M46" s="98">
        <v>3.0101759999999998E-3</v>
      </c>
      <c r="N46" s="98">
        <v>2.8075221000000001E-2</v>
      </c>
      <c r="O46" s="98">
        <v>0.22047277800000001</v>
      </c>
      <c r="P46" s="98">
        <v>7.1000869999999994E-2</v>
      </c>
      <c r="Q46" s="98">
        <v>4.8737514000000003E-2</v>
      </c>
      <c r="R46" s="98">
        <v>4.8203344000000002E-2</v>
      </c>
      <c r="S46" s="98">
        <v>0.15318411900000001</v>
      </c>
      <c r="T46" s="98">
        <v>0.57423746099999995</v>
      </c>
      <c r="U46" s="98">
        <v>1.0635890750000001</v>
      </c>
      <c r="V46" s="98">
        <v>0.657591484</v>
      </c>
      <c r="W46" s="98">
        <v>0.16272135099999999</v>
      </c>
      <c r="X46" s="98">
        <v>1.915179008</v>
      </c>
      <c r="Y46" s="98">
        <v>0.30748343500000003</v>
      </c>
      <c r="Z46" s="98">
        <v>9.4979277470000003</v>
      </c>
      <c r="AA46" s="98">
        <v>3.5884008199999999</v>
      </c>
      <c r="AB46" s="98">
        <v>21.629836835999999</v>
      </c>
      <c r="AC46" s="98">
        <v>4.5074955709999998</v>
      </c>
      <c r="AD46" s="98">
        <v>1.9956610050000001</v>
      </c>
      <c r="AE46" s="98">
        <v>2.14868003</v>
      </c>
      <c r="AF46" s="98">
        <v>3.0756756699999999</v>
      </c>
      <c r="AG46" s="98">
        <v>0.167492275</v>
      </c>
      <c r="AH46" s="98">
        <v>5.2107443690000004</v>
      </c>
      <c r="AI46" s="98">
        <v>2.9674100409999999</v>
      </c>
      <c r="AJ46" s="98">
        <v>1.997534398</v>
      </c>
      <c r="AK46" s="98">
        <v>0.15200070700000001</v>
      </c>
      <c r="AL46" s="98">
        <v>1.0361127320000001</v>
      </c>
      <c r="AM46" s="98">
        <v>1.989129717</v>
      </c>
      <c r="AN46" s="98">
        <v>0.14355310600000001</v>
      </c>
      <c r="AO46" s="98">
        <v>12.002118499</v>
      </c>
      <c r="AP46" s="98">
        <v>5.7816314000000002</v>
      </c>
      <c r="AQ46" s="98">
        <v>1.4449832419999999</v>
      </c>
      <c r="AR46" s="98">
        <v>3.4682006190000001</v>
      </c>
      <c r="AS46" s="98">
        <v>1.979977053</v>
      </c>
      <c r="AT46" s="98">
        <v>33.320915952</v>
      </c>
      <c r="AU46" s="98">
        <v>1.278351456</v>
      </c>
      <c r="AV46" s="98">
        <v>38.013478929000001</v>
      </c>
      <c r="AW46" s="98">
        <v>2.7655404109999999</v>
      </c>
      <c r="AX46" s="98">
        <v>0.74469333900000001</v>
      </c>
      <c r="AY46" s="98">
        <v>2.6702314469999999</v>
      </c>
      <c r="AZ46" s="98">
        <v>2.9391178259999999</v>
      </c>
      <c r="BA46" s="98">
        <v>13.354043118</v>
      </c>
      <c r="BB46" s="98">
        <v>2.991317622</v>
      </c>
      <c r="BC46" s="98">
        <v>7.4045105910000002</v>
      </c>
      <c r="BD46" s="98">
        <v>3.280186563</v>
      </c>
      <c r="BE46" s="98">
        <v>26.74899469</v>
      </c>
      <c r="BF46" s="98">
        <v>8.3003270229999995</v>
      </c>
      <c r="BG46" s="98">
        <v>0</v>
      </c>
      <c r="BH46" s="98">
        <v>0</v>
      </c>
      <c r="BI46" s="98">
        <v>0</v>
      </c>
      <c r="BJ46" s="98">
        <v>0</v>
      </c>
      <c r="BK46" s="98">
        <v>211.3413807</v>
      </c>
      <c r="BL46" s="98">
        <v>2.881E-5</v>
      </c>
      <c r="BM46" s="98">
        <v>4.6823999999999998E-5</v>
      </c>
      <c r="BN46" s="98">
        <v>0</v>
      </c>
      <c r="BO46" s="98">
        <v>0</v>
      </c>
      <c r="BP46" s="98">
        <v>0</v>
      </c>
      <c r="BQ46" s="98">
        <v>0</v>
      </c>
      <c r="BR46" s="98">
        <v>0</v>
      </c>
      <c r="BS46" s="98">
        <v>0</v>
      </c>
      <c r="BT46" s="98">
        <v>20.212953607999999</v>
      </c>
      <c r="BU46" s="98">
        <v>0</v>
      </c>
      <c r="BV46" s="98">
        <v>0</v>
      </c>
      <c r="BW46" s="82">
        <v>0</v>
      </c>
      <c r="BX46" s="100"/>
    </row>
    <row r="47" spans="1:76">
      <c r="A47" s="101" t="s">
        <v>861</v>
      </c>
      <c r="B47" s="98">
        <v>1.531514912</v>
      </c>
      <c r="C47" s="98">
        <v>1.03735E-3</v>
      </c>
      <c r="D47" s="98">
        <v>0.61029899600000004</v>
      </c>
      <c r="E47" s="98">
        <v>1.477578936</v>
      </c>
      <c r="F47" s="98">
        <v>9.5980500999999996E-2</v>
      </c>
      <c r="G47" s="98">
        <v>0.14572094799999999</v>
      </c>
      <c r="H47" s="98">
        <v>2.2309980000000001E-3</v>
      </c>
      <c r="I47" s="98">
        <v>1.4663082089999999</v>
      </c>
      <c r="J47" s="98">
        <v>0.67705470000000001</v>
      </c>
      <c r="K47" s="98">
        <v>8.6676634739999994</v>
      </c>
      <c r="L47" s="98">
        <v>0.236142511</v>
      </c>
      <c r="M47" s="98">
        <v>5.3123479999999997E-3</v>
      </c>
      <c r="N47" s="98">
        <v>0.89032905600000001</v>
      </c>
      <c r="O47" s="98">
        <v>0.27653390100000003</v>
      </c>
      <c r="P47" s="98">
        <v>2.6690081409999999</v>
      </c>
      <c r="Q47" s="98">
        <v>2.192688092</v>
      </c>
      <c r="R47" s="98">
        <v>1.203574648</v>
      </c>
      <c r="S47" s="98">
        <v>4.2683759239999999</v>
      </c>
      <c r="T47" s="98">
        <v>0.34812641799999999</v>
      </c>
      <c r="U47" s="98">
        <v>1.0207793570000001</v>
      </c>
      <c r="V47" s="98">
        <v>0.91722482299999997</v>
      </c>
      <c r="W47" s="98">
        <v>0.10161521599999999</v>
      </c>
      <c r="X47" s="98">
        <v>1.063068184</v>
      </c>
      <c r="Y47" s="98">
        <v>1.7394012569999999</v>
      </c>
      <c r="Z47" s="98">
        <v>12.794948804000001</v>
      </c>
      <c r="AA47" s="98">
        <v>1.5748822339999999</v>
      </c>
      <c r="AB47" s="98">
        <v>5.3078164780000003</v>
      </c>
      <c r="AC47" s="98">
        <v>1.3597962990000001</v>
      </c>
      <c r="AD47" s="98">
        <v>6.5484721019999999</v>
      </c>
      <c r="AE47" s="98">
        <v>7.5338867870000001</v>
      </c>
      <c r="AF47" s="98">
        <v>18.072136540999999</v>
      </c>
      <c r="AG47" s="98">
        <v>0.371226165</v>
      </c>
      <c r="AH47" s="98">
        <v>14.004241629999999</v>
      </c>
      <c r="AI47" s="98">
        <v>12.853967397</v>
      </c>
      <c r="AJ47" s="98">
        <v>1.5031078790000001</v>
      </c>
      <c r="AK47" s="98">
        <v>0.15101890700000001</v>
      </c>
      <c r="AL47" s="98">
        <v>3.4385683920000001</v>
      </c>
      <c r="AM47" s="98">
        <v>7.7654170789999997</v>
      </c>
      <c r="AN47" s="98">
        <v>0.89955480099999996</v>
      </c>
      <c r="AO47" s="98">
        <v>6.9003603299999998</v>
      </c>
      <c r="AP47" s="98">
        <v>18.464319066000002</v>
      </c>
      <c r="AQ47" s="98">
        <v>3.0280670199999999</v>
      </c>
      <c r="AR47" s="98">
        <v>14.871240942</v>
      </c>
      <c r="AS47" s="98">
        <v>1.1693069439999999</v>
      </c>
      <c r="AT47" s="98">
        <v>2.7018960079999998</v>
      </c>
      <c r="AU47" s="98">
        <v>15.8502432</v>
      </c>
      <c r="AV47" s="98">
        <v>33.830440021000001</v>
      </c>
      <c r="AW47" s="98">
        <v>7.7990072550000002</v>
      </c>
      <c r="AX47" s="98">
        <v>1.0370735630000001</v>
      </c>
      <c r="AY47" s="98">
        <v>4.1124047309999998</v>
      </c>
      <c r="AZ47" s="98">
        <v>1.9332816530000001</v>
      </c>
      <c r="BA47" s="98">
        <v>26.485270984</v>
      </c>
      <c r="BB47" s="98">
        <v>4.2977023680000004</v>
      </c>
      <c r="BC47" s="98">
        <v>18.112569750999999</v>
      </c>
      <c r="BD47" s="98">
        <v>16.431804128</v>
      </c>
      <c r="BE47" s="98">
        <v>68.560758981000006</v>
      </c>
      <c r="BF47" s="98">
        <v>71.560632608000006</v>
      </c>
      <c r="BG47" s="98">
        <v>0</v>
      </c>
      <c r="BH47" s="98">
        <v>0</v>
      </c>
      <c r="BI47" s="98">
        <v>0</v>
      </c>
      <c r="BJ47" s="98">
        <v>0</v>
      </c>
      <c r="BK47" s="98">
        <v>314.93580700000001</v>
      </c>
      <c r="BL47" s="98">
        <v>5.3667099999999996E-4</v>
      </c>
      <c r="BM47" s="98">
        <v>8926.9309216000001</v>
      </c>
      <c r="BN47" s="98">
        <v>0</v>
      </c>
      <c r="BO47" s="98">
        <v>0</v>
      </c>
      <c r="BP47" s="98">
        <v>0</v>
      </c>
      <c r="BQ47" s="98">
        <v>0</v>
      </c>
      <c r="BR47" s="98">
        <v>0</v>
      </c>
      <c r="BS47" s="98">
        <v>0</v>
      </c>
      <c r="BT47" s="98">
        <v>271.94137783799999</v>
      </c>
      <c r="BU47" s="98">
        <v>0</v>
      </c>
      <c r="BV47" s="98">
        <v>0</v>
      </c>
      <c r="BW47" s="82">
        <v>0</v>
      </c>
      <c r="BX47" s="100"/>
    </row>
    <row r="48" spans="1:76">
      <c r="A48" s="101" t="s">
        <v>862</v>
      </c>
      <c r="B48" s="98">
        <v>46.416635530000001</v>
      </c>
      <c r="C48" s="98">
        <v>7.9817719999999998E-3</v>
      </c>
      <c r="D48" s="98">
        <v>5.0614002390000001</v>
      </c>
      <c r="E48" s="98">
        <v>79.888261839999998</v>
      </c>
      <c r="F48" s="98">
        <v>4.9508770359999996</v>
      </c>
      <c r="G48" s="98">
        <v>10.024950029999999</v>
      </c>
      <c r="H48" s="98">
        <v>2.1181150089999998</v>
      </c>
      <c r="I48" s="98">
        <v>76.524988179999994</v>
      </c>
      <c r="J48" s="98">
        <v>17.920797662999998</v>
      </c>
      <c r="K48" s="98">
        <v>227.17889864</v>
      </c>
      <c r="L48" s="98">
        <v>6.2926068419999996</v>
      </c>
      <c r="M48" s="98">
        <v>0.14305915899999999</v>
      </c>
      <c r="N48" s="98">
        <v>3.1778224810000002</v>
      </c>
      <c r="O48" s="98">
        <v>99.104763009999999</v>
      </c>
      <c r="P48" s="98">
        <v>3.1769195620000001</v>
      </c>
      <c r="Q48" s="98">
        <v>3.3639696579999998</v>
      </c>
      <c r="R48" s="98">
        <v>5.87987444</v>
      </c>
      <c r="S48" s="98">
        <v>4.6010718930000003</v>
      </c>
      <c r="T48" s="98">
        <v>71.868417059999999</v>
      </c>
      <c r="U48" s="98">
        <v>210.01258781000001</v>
      </c>
      <c r="V48" s="98">
        <v>38.949177749999997</v>
      </c>
      <c r="W48" s="98">
        <v>20.847542692000001</v>
      </c>
      <c r="X48" s="98">
        <v>64.184546815000004</v>
      </c>
      <c r="Y48" s="98">
        <v>53.184473539999999</v>
      </c>
      <c r="Z48" s="98">
        <v>789.66482910000002</v>
      </c>
      <c r="AA48" s="98">
        <v>99.481556940000004</v>
      </c>
      <c r="AB48" s="98">
        <v>470.67021979999998</v>
      </c>
      <c r="AC48" s="98">
        <v>638.00819039999999</v>
      </c>
      <c r="AD48" s="98">
        <v>278.3408341</v>
      </c>
      <c r="AE48" s="98">
        <v>260.75890099999998</v>
      </c>
      <c r="AF48" s="98">
        <v>283.18297990000002</v>
      </c>
      <c r="AG48" s="98">
        <v>19.87165238</v>
      </c>
      <c r="AH48" s="98">
        <v>1028.1792221999999</v>
      </c>
      <c r="AI48" s="98">
        <v>115.3687295</v>
      </c>
      <c r="AJ48" s="98">
        <v>81.280735000000007</v>
      </c>
      <c r="AK48" s="98">
        <v>23.623397600000001</v>
      </c>
      <c r="AL48" s="98">
        <v>152.60800169999999</v>
      </c>
      <c r="AM48" s="98">
        <v>654.54677500000003</v>
      </c>
      <c r="AN48" s="98">
        <v>23.785884729999999</v>
      </c>
      <c r="AO48" s="98">
        <v>1505.4034429999999</v>
      </c>
      <c r="AP48" s="98">
        <v>985.81160699999998</v>
      </c>
      <c r="AQ48" s="98">
        <v>625.10801649999996</v>
      </c>
      <c r="AR48" s="98">
        <v>38.924448810000001</v>
      </c>
      <c r="AS48" s="98">
        <v>5.5117255629999997</v>
      </c>
      <c r="AT48" s="98">
        <v>2.4369582539999999</v>
      </c>
      <c r="AU48" s="98">
        <v>670.11523480000005</v>
      </c>
      <c r="AV48" s="98">
        <v>135.38457961</v>
      </c>
      <c r="AW48" s="98">
        <v>219.650341</v>
      </c>
      <c r="AX48" s="98">
        <v>35.773216929999997</v>
      </c>
      <c r="AY48" s="98">
        <v>119.9298342</v>
      </c>
      <c r="AZ48" s="98">
        <v>3.1333633619999999</v>
      </c>
      <c r="BA48" s="98">
        <v>69.603045699999996</v>
      </c>
      <c r="BB48" s="98">
        <v>23.799746825</v>
      </c>
      <c r="BC48" s="98">
        <v>390.15723649</v>
      </c>
      <c r="BD48" s="98">
        <v>702.81811530000004</v>
      </c>
      <c r="BE48" s="98">
        <v>202.88031728999999</v>
      </c>
      <c r="BF48" s="98">
        <v>231.89801678000001</v>
      </c>
      <c r="BG48" s="98">
        <v>0</v>
      </c>
      <c r="BH48" s="98">
        <v>0</v>
      </c>
      <c r="BI48" s="98">
        <v>0</v>
      </c>
      <c r="BJ48" s="98">
        <v>0</v>
      </c>
      <c r="BK48" s="98">
        <v>9192.2667872000002</v>
      </c>
      <c r="BL48" s="98">
        <v>9.6855699999999999E-4</v>
      </c>
      <c r="BM48" s="98">
        <v>1664.585842</v>
      </c>
      <c r="BN48" s="98">
        <v>0</v>
      </c>
      <c r="BO48" s="98">
        <v>0</v>
      </c>
      <c r="BP48" s="98">
        <v>0</v>
      </c>
      <c r="BQ48" s="98">
        <v>0</v>
      </c>
      <c r="BR48" s="98">
        <v>0</v>
      </c>
      <c r="BS48" s="98">
        <v>0</v>
      </c>
      <c r="BT48" s="98">
        <v>1312.3623396319999</v>
      </c>
      <c r="BU48" s="98">
        <v>0</v>
      </c>
      <c r="BV48" s="98">
        <v>0</v>
      </c>
      <c r="BW48" s="82">
        <v>0</v>
      </c>
      <c r="BX48" s="100"/>
    </row>
    <row r="49" spans="1:76">
      <c r="A49" s="101" t="s">
        <v>863</v>
      </c>
      <c r="B49" s="98">
        <v>10.014278679</v>
      </c>
      <c r="C49" s="98">
        <v>1.7100990000000001E-3</v>
      </c>
      <c r="D49" s="98">
        <v>1.187216654</v>
      </c>
      <c r="E49" s="98">
        <v>15.130656200000001</v>
      </c>
      <c r="F49" s="98">
        <v>0.91810020800000003</v>
      </c>
      <c r="G49" s="98">
        <v>6.8147627140000004</v>
      </c>
      <c r="H49" s="98">
        <v>0.41025746299999999</v>
      </c>
      <c r="I49" s="98">
        <v>14.686765339999999</v>
      </c>
      <c r="J49" s="98">
        <v>1.9794314230000001</v>
      </c>
      <c r="K49" s="98">
        <v>24.31387904</v>
      </c>
      <c r="L49" s="98">
        <v>0.72324377299999998</v>
      </c>
      <c r="M49" s="98">
        <v>1.1057677E-2</v>
      </c>
      <c r="N49" s="98">
        <v>1.3687538589999999</v>
      </c>
      <c r="O49" s="98">
        <v>10.31151056</v>
      </c>
      <c r="P49" s="98">
        <v>20.901579943000002</v>
      </c>
      <c r="Q49" s="98">
        <v>5.9819591409999999</v>
      </c>
      <c r="R49" s="98">
        <v>2.1190737080000002</v>
      </c>
      <c r="S49" s="98">
        <v>30.269091705000001</v>
      </c>
      <c r="T49" s="98">
        <v>7.0717202700000001</v>
      </c>
      <c r="U49" s="98">
        <v>20.140632434</v>
      </c>
      <c r="V49" s="98">
        <v>12.519157030000001</v>
      </c>
      <c r="W49" s="98">
        <v>2.2036929760000001</v>
      </c>
      <c r="X49" s="98">
        <v>28.155826209000001</v>
      </c>
      <c r="Y49" s="98">
        <v>27.923106597</v>
      </c>
      <c r="Z49" s="98">
        <v>85.505291479999997</v>
      </c>
      <c r="AA49" s="98">
        <v>56.629448439999997</v>
      </c>
      <c r="AB49" s="98">
        <v>76.507232700000003</v>
      </c>
      <c r="AC49" s="98">
        <v>52.610932390000002</v>
      </c>
      <c r="AD49" s="98">
        <v>32.26120469</v>
      </c>
      <c r="AE49" s="98">
        <v>82.336037599999997</v>
      </c>
      <c r="AF49" s="98">
        <v>67.908151599999997</v>
      </c>
      <c r="AG49" s="98">
        <v>7.8250605999999996</v>
      </c>
      <c r="AH49" s="98">
        <v>211.3310396</v>
      </c>
      <c r="AI49" s="98">
        <v>112.4140486</v>
      </c>
      <c r="AJ49" s="98">
        <v>14.59753152</v>
      </c>
      <c r="AK49" s="98">
        <v>3.3502017300000002</v>
      </c>
      <c r="AL49" s="98">
        <v>27.153418779999999</v>
      </c>
      <c r="AM49" s="98">
        <v>165.63349160000001</v>
      </c>
      <c r="AN49" s="98">
        <v>7.3574300079999997</v>
      </c>
      <c r="AO49" s="98">
        <v>349.81823730000002</v>
      </c>
      <c r="AP49" s="98">
        <v>191.98011360000001</v>
      </c>
      <c r="AQ49" s="98">
        <v>66.116245199999994</v>
      </c>
      <c r="AR49" s="98">
        <v>39.616913603999997</v>
      </c>
      <c r="AS49" s="98">
        <v>2.589147444</v>
      </c>
      <c r="AT49" s="98">
        <v>1.3758975899999999</v>
      </c>
      <c r="AU49" s="98">
        <v>522.56963510000003</v>
      </c>
      <c r="AV49" s="98">
        <v>327.43306910000001</v>
      </c>
      <c r="AW49" s="98">
        <v>507.36581869000003</v>
      </c>
      <c r="AX49" s="98">
        <v>122.5499458</v>
      </c>
      <c r="AY49" s="98">
        <v>351.5854496</v>
      </c>
      <c r="AZ49" s="98">
        <v>28.905926960999999</v>
      </c>
      <c r="BA49" s="98">
        <v>60.75248002</v>
      </c>
      <c r="BB49" s="98">
        <v>22.375230807000001</v>
      </c>
      <c r="BC49" s="98">
        <v>99.708133959999998</v>
      </c>
      <c r="BD49" s="98">
        <v>40.616762600000001</v>
      </c>
      <c r="BE49" s="98">
        <v>157.599030777</v>
      </c>
      <c r="BF49" s="98">
        <v>45.322407331000001</v>
      </c>
      <c r="BG49" s="98">
        <v>0</v>
      </c>
      <c r="BH49" s="98">
        <v>0</v>
      </c>
      <c r="BI49" s="98">
        <v>0</v>
      </c>
      <c r="BJ49" s="98">
        <v>0</v>
      </c>
      <c r="BK49" s="98">
        <v>3014.2031270000002</v>
      </c>
      <c r="BL49" s="98">
        <v>2.0282906999999999E-2</v>
      </c>
      <c r="BM49" s="98">
        <v>241.07713290000001</v>
      </c>
      <c r="BN49" s="98">
        <v>0</v>
      </c>
      <c r="BO49" s="98">
        <v>0</v>
      </c>
      <c r="BP49" s="98">
        <v>0</v>
      </c>
      <c r="BQ49" s="98">
        <v>0</v>
      </c>
      <c r="BR49" s="98">
        <v>0</v>
      </c>
      <c r="BS49" s="98">
        <v>0</v>
      </c>
      <c r="BT49" s="98">
        <v>2430.8529882409998</v>
      </c>
      <c r="BU49" s="98">
        <v>0</v>
      </c>
      <c r="BV49" s="98">
        <v>0</v>
      </c>
      <c r="BW49" s="82">
        <v>0</v>
      </c>
      <c r="BX49" s="100"/>
    </row>
    <row r="50" spans="1:76">
      <c r="A50" s="101" t="s">
        <v>864</v>
      </c>
      <c r="B50" s="98">
        <v>1.517608625</v>
      </c>
      <c r="C50" s="98">
        <v>5.3538200000000005E-4</v>
      </c>
      <c r="D50" s="98">
        <v>0.28160199699999999</v>
      </c>
      <c r="E50" s="98">
        <v>2.914650038</v>
      </c>
      <c r="F50" s="98">
        <v>0.1469895</v>
      </c>
      <c r="G50" s="98">
        <v>0.68374851699999994</v>
      </c>
      <c r="H50" s="98">
        <v>0.11000912</v>
      </c>
      <c r="I50" s="98">
        <v>1.865984605</v>
      </c>
      <c r="J50" s="98">
        <v>0.199677088</v>
      </c>
      <c r="K50" s="98">
        <v>2.4643627119999998</v>
      </c>
      <c r="L50" s="98">
        <v>6.9094568999999995E-2</v>
      </c>
      <c r="M50" s="98">
        <v>4.109222E-3</v>
      </c>
      <c r="N50" s="98">
        <v>0.21706845999999999</v>
      </c>
      <c r="O50" s="98">
        <v>10.283333925999999</v>
      </c>
      <c r="P50" s="98">
        <v>4.2801553200000004</v>
      </c>
      <c r="Q50" s="98">
        <v>1.029822507</v>
      </c>
      <c r="R50" s="98">
        <v>8.6475443999999999E-2</v>
      </c>
      <c r="S50" s="98">
        <v>6.0024835999999997</v>
      </c>
      <c r="T50" s="98">
        <v>1.0445347679999999</v>
      </c>
      <c r="U50" s="98">
        <v>3.2442012980000001</v>
      </c>
      <c r="V50" s="98">
        <v>1.2331462820000001</v>
      </c>
      <c r="W50" s="98">
        <v>0.21229896500000001</v>
      </c>
      <c r="X50" s="98">
        <v>2.7554906149999998</v>
      </c>
      <c r="Y50" s="98">
        <v>7.8848148330000001</v>
      </c>
      <c r="Z50" s="98">
        <v>21.830947420000001</v>
      </c>
      <c r="AA50" s="98">
        <v>7.4224078020000004</v>
      </c>
      <c r="AB50" s="98">
        <v>4.0794472700000002</v>
      </c>
      <c r="AC50" s="98">
        <v>1.9557681229999999</v>
      </c>
      <c r="AD50" s="98">
        <v>1.558701997</v>
      </c>
      <c r="AE50" s="98">
        <v>9.2348309759999996</v>
      </c>
      <c r="AF50" s="98">
        <v>4.6141935600000004</v>
      </c>
      <c r="AG50" s="98">
        <v>0.83739354700000002</v>
      </c>
      <c r="AH50" s="98">
        <v>28.306473700000002</v>
      </c>
      <c r="AI50" s="98">
        <v>15.35582428</v>
      </c>
      <c r="AJ50" s="98">
        <v>4.3525756600000003</v>
      </c>
      <c r="AK50" s="98">
        <v>0.80198881</v>
      </c>
      <c r="AL50" s="98">
        <v>3.3925668619999998</v>
      </c>
      <c r="AM50" s="98">
        <v>22.239565880000001</v>
      </c>
      <c r="AN50" s="98">
        <v>0.64640631500000001</v>
      </c>
      <c r="AO50" s="98">
        <v>14.916019439999999</v>
      </c>
      <c r="AP50" s="98">
        <v>11.5663546</v>
      </c>
      <c r="AQ50" s="98">
        <v>10.48567676</v>
      </c>
      <c r="AR50" s="98">
        <v>6.8059279769999996</v>
      </c>
      <c r="AS50" s="98">
        <v>3.2280545000000001E-2</v>
      </c>
      <c r="AT50" s="98">
        <v>2.0560632999999998E-2</v>
      </c>
      <c r="AU50" s="98">
        <v>67.330314650000005</v>
      </c>
      <c r="AV50" s="98">
        <v>43.105590902000003</v>
      </c>
      <c r="AW50" s="98">
        <v>33.864982245999997</v>
      </c>
      <c r="AX50" s="98">
        <v>38.51386737</v>
      </c>
      <c r="AY50" s="98">
        <v>14.406540142000001</v>
      </c>
      <c r="AZ50" s="98">
        <v>1.0698687099999999</v>
      </c>
      <c r="BA50" s="98">
        <v>1.929887779</v>
      </c>
      <c r="BB50" s="98">
        <v>0.48205964000000001</v>
      </c>
      <c r="BC50" s="98">
        <v>3.6286643330000001</v>
      </c>
      <c r="BD50" s="98">
        <v>6.6801264869999999</v>
      </c>
      <c r="BE50" s="98">
        <v>17.950614452</v>
      </c>
      <c r="BF50" s="98">
        <v>1.5503563330000001</v>
      </c>
      <c r="BG50" s="98">
        <v>0</v>
      </c>
      <c r="BH50" s="98">
        <v>0</v>
      </c>
      <c r="BI50" s="98">
        <v>0</v>
      </c>
      <c r="BJ50" s="98">
        <v>0</v>
      </c>
      <c r="BK50" s="98">
        <v>253.744629</v>
      </c>
      <c r="BL50" s="98">
        <v>1.858672E-3</v>
      </c>
      <c r="BM50" s="98">
        <v>14.84374285</v>
      </c>
      <c r="BN50" s="98">
        <v>0</v>
      </c>
      <c r="BO50" s="98">
        <v>0</v>
      </c>
      <c r="BP50" s="98">
        <v>0</v>
      </c>
      <c r="BQ50" s="98">
        <v>0</v>
      </c>
      <c r="BR50" s="98">
        <v>0</v>
      </c>
      <c r="BS50" s="98">
        <v>0</v>
      </c>
      <c r="BT50" s="98">
        <v>360.26713987599999</v>
      </c>
      <c r="BU50" s="98">
        <v>0</v>
      </c>
      <c r="BV50" s="98">
        <v>0</v>
      </c>
      <c r="BW50" s="82">
        <v>0</v>
      </c>
      <c r="BX50" s="100"/>
    </row>
    <row r="51" spans="1:76">
      <c r="A51" s="101" t="s">
        <v>865</v>
      </c>
      <c r="B51" s="98">
        <v>1.8633154830000001</v>
      </c>
      <c r="C51" s="98">
        <v>1.13405E-4</v>
      </c>
      <c r="D51" s="98">
        <v>9.0651081999999994E-2</v>
      </c>
      <c r="E51" s="98">
        <v>2.1920334100000001</v>
      </c>
      <c r="F51" s="98">
        <v>0.109014872</v>
      </c>
      <c r="G51" s="98">
        <v>0.45146894399999998</v>
      </c>
      <c r="H51" s="98">
        <v>0.103630103</v>
      </c>
      <c r="I51" s="98">
        <v>1.7839509250000001</v>
      </c>
      <c r="J51" s="98">
        <v>5.4843443999999998E-2</v>
      </c>
      <c r="K51" s="98">
        <v>0.32215698100000001</v>
      </c>
      <c r="L51" s="98">
        <v>2.2747053E-2</v>
      </c>
      <c r="M51" s="98">
        <v>3.2604740000000002E-3</v>
      </c>
      <c r="N51" s="98">
        <v>1.8936959E-2</v>
      </c>
      <c r="O51" s="98">
        <v>0.54784670099999999</v>
      </c>
      <c r="P51" s="98">
        <v>4.7132120999999999E-2</v>
      </c>
      <c r="Q51" s="98">
        <v>0.37446823600000001</v>
      </c>
      <c r="R51" s="98">
        <v>0.19048579199999999</v>
      </c>
      <c r="S51" s="98">
        <v>0.12261132499999999</v>
      </c>
      <c r="T51" s="98">
        <v>0.84080529199999998</v>
      </c>
      <c r="U51" s="98">
        <v>2.60161898</v>
      </c>
      <c r="V51" s="98">
        <v>1.5097939119999999</v>
      </c>
      <c r="W51" s="98">
        <v>0.19298454300000001</v>
      </c>
      <c r="X51" s="98">
        <v>0.441084174</v>
      </c>
      <c r="Y51" s="98">
        <v>3.603621569</v>
      </c>
      <c r="Z51" s="98">
        <v>11.997674590000001</v>
      </c>
      <c r="AA51" s="98">
        <v>6.1357024899999999</v>
      </c>
      <c r="AB51" s="98">
        <v>21.542965410000001</v>
      </c>
      <c r="AC51" s="98">
        <v>11.09492994</v>
      </c>
      <c r="AD51" s="98">
        <v>8.72839499</v>
      </c>
      <c r="AE51" s="98">
        <v>4.1492185499999996</v>
      </c>
      <c r="AF51" s="98">
        <v>23.382557429999999</v>
      </c>
      <c r="AG51" s="98">
        <v>0.38217869399999999</v>
      </c>
      <c r="AH51" s="98">
        <v>12.188881159999999</v>
      </c>
      <c r="AI51" s="98">
        <v>3.7913278369999999</v>
      </c>
      <c r="AJ51" s="98">
        <v>0.50841228599999999</v>
      </c>
      <c r="AK51" s="98">
        <v>0.25354478699999999</v>
      </c>
      <c r="AL51" s="98">
        <v>3.9077506</v>
      </c>
      <c r="AM51" s="98">
        <v>13.026894090000001</v>
      </c>
      <c r="AN51" s="98">
        <v>0.34568653999999999</v>
      </c>
      <c r="AO51" s="98">
        <v>79.842744800000006</v>
      </c>
      <c r="AP51" s="98">
        <v>29.040518800000001</v>
      </c>
      <c r="AQ51" s="98">
        <v>7.9122965399999998</v>
      </c>
      <c r="AR51" s="98">
        <v>5.2148991799999997</v>
      </c>
      <c r="AS51" s="98">
        <v>8.1003971999999994E-2</v>
      </c>
      <c r="AT51" s="98">
        <v>0.100354967</v>
      </c>
      <c r="AU51" s="98">
        <v>2.4593352660000001</v>
      </c>
      <c r="AV51" s="98">
        <v>46.385521095000001</v>
      </c>
      <c r="AW51" s="98">
        <v>50.633052139999997</v>
      </c>
      <c r="AX51" s="98">
        <v>7.1986592849999997</v>
      </c>
      <c r="AY51" s="98">
        <v>126.73395677000001</v>
      </c>
      <c r="AZ51" s="98">
        <v>4.0398417679999996</v>
      </c>
      <c r="BA51" s="98">
        <v>16.359507392000001</v>
      </c>
      <c r="BB51" s="98">
        <v>2.2071357979999999</v>
      </c>
      <c r="BC51" s="98">
        <v>10.779079912</v>
      </c>
      <c r="BD51" s="98">
        <v>17.267269809999998</v>
      </c>
      <c r="BE51" s="98">
        <v>59.329004257999998</v>
      </c>
      <c r="BF51" s="98">
        <v>6.0844827700000002</v>
      </c>
      <c r="BG51" s="98">
        <v>0</v>
      </c>
      <c r="BH51" s="98">
        <v>0</v>
      </c>
      <c r="BI51" s="98">
        <v>0</v>
      </c>
      <c r="BJ51" s="98">
        <v>0</v>
      </c>
      <c r="BK51" s="98">
        <v>1479.72504</v>
      </c>
      <c r="BL51" s="98">
        <v>6.3036350000000001E-3</v>
      </c>
      <c r="BM51" s="98">
        <v>11.313413465</v>
      </c>
      <c r="BN51" s="98">
        <v>0</v>
      </c>
      <c r="BO51" s="98">
        <v>0</v>
      </c>
      <c r="BP51" s="98">
        <v>0</v>
      </c>
      <c r="BQ51" s="98">
        <v>0</v>
      </c>
      <c r="BR51" s="98">
        <v>0</v>
      </c>
      <c r="BS51" s="98">
        <v>0</v>
      </c>
      <c r="BT51" s="98">
        <v>2588.568513832</v>
      </c>
      <c r="BU51" s="98">
        <v>0</v>
      </c>
      <c r="BV51" s="98">
        <v>0</v>
      </c>
      <c r="BW51" s="82">
        <v>0</v>
      </c>
      <c r="BX51" s="100"/>
    </row>
    <row r="52" spans="1:76">
      <c r="A52" s="101" t="s">
        <v>866</v>
      </c>
      <c r="B52" s="98">
        <v>4.5744879999999998E-3</v>
      </c>
      <c r="C52" s="98">
        <v>2.244E-6</v>
      </c>
      <c r="D52" s="98">
        <v>1.295072E-3</v>
      </c>
      <c r="E52" s="98">
        <v>0.16797503799999999</v>
      </c>
      <c r="F52" s="98">
        <v>1.0929013E-2</v>
      </c>
      <c r="G52" s="98">
        <v>1.8482419999999999E-3</v>
      </c>
      <c r="H52" s="98">
        <v>9.3484600000000003E-4</v>
      </c>
      <c r="I52" s="98">
        <v>0.16633003499999999</v>
      </c>
      <c r="J52" s="98">
        <v>0.114811068</v>
      </c>
      <c r="K52" s="98">
        <v>1.468891696</v>
      </c>
      <c r="L52" s="98">
        <v>4.0210705999999999E-2</v>
      </c>
      <c r="M52" s="98">
        <v>9.1283300000000005E-4</v>
      </c>
      <c r="N52" s="98">
        <v>0.108053918</v>
      </c>
      <c r="O52" s="98">
        <v>0.27482186199999997</v>
      </c>
      <c r="P52" s="98">
        <v>1.181768766</v>
      </c>
      <c r="Q52" s="98">
        <v>0.889975988</v>
      </c>
      <c r="R52" s="98">
        <v>0.45764296300000001</v>
      </c>
      <c r="S52" s="98">
        <v>1.089968429</v>
      </c>
      <c r="T52" s="98">
        <v>0.94641650099999997</v>
      </c>
      <c r="U52" s="98">
        <v>2.7757219360000001</v>
      </c>
      <c r="V52" s="98">
        <v>0.48327013000000002</v>
      </c>
      <c r="W52" s="98">
        <v>0.27455398399999997</v>
      </c>
      <c r="X52" s="98">
        <v>2.235384829</v>
      </c>
      <c r="Y52" s="98">
        <v>0.91582211400000002</v>
      </c>
      <c r="Z52" s="98">
        <v>14.242447585000001</v>
      </c>
      <c r="AA52" s="98">
        <v>5.1696050150000001</v>
      </c>
      <c r="AB52" s="98">
        <v>18.084603779999998</v>
      </c>
      <c r="AC52" s="98">
        <v>14.267788167000001</v>
      </c>
      <c r="AD52" s="98">
        <v>7.9782802320000004</v>
      </c>
      <c r="AE52" s="98">
        <v>8.50828439</v>
      </c>
      <c r="AF52" s="98">
        <v>9.0171259460000002</v>
      </c>
      <c r="AG52" s="98">
        <v>1.073363514</v>
      </c>
      <c r="AH52" s="98">
        <v>21.339710491999998</v>
      </c>
      <c r="AI52" s="98">
        <v>11.172488336000001</v>
      </c>
      <c r="AJ52" s="98">
        <v>3.36824016</v>
      </c>
      <c r="AK52" s="98">
        <v>0.89290190599999997</v>
      </c>
      <c r="AL52" s="98">
        <v>8.2020225809999996</v>
      </c>
      <c r="AM52" s="98">
        <v>15.78920703</v>
      </c>
      <c r="AN52" s="98">
        <v>1.7751146019999999</v>
      </c>
      <c r="AO52" s="98">
        <v>63.914046169000002</v>
      </c>
      <c r="AP52" s="98">
        <v>81.407294179999994</v>
      </c>
      <c r="AQ52" s="98">
        <v>17.968591230000001</v>
      </c>
      <c r="AR52" s="98">
        <v>5.4664725489999997</v>
      </c>
      <c r="AS52" s="98">
        <v>0.45129581200000002</v>
      </c>
      <c r="AT52" s="98">
        <v>1.1818702480000001</v>
      </c>
      <c r="AU52" s="98">
        <v>13.218536583000001</v>
      </c>
      <c r="AV52" s="98">
        <v>121.47561241</v>
      </c>
      <c r="AW52" s="98">
        <v>50.868470596999998</v>
      </c>
      <c r="AX52" s="98">
        <v>9.4947124370000004</v>
      </c>
      <c r="AY52" s="98">
        <v>34.303876199000001</v>
      </c>
      <c r="AZ52" s="98">
        <v>148.373599235</v>
      </c>
      <c r="BA52" s="98">
        <v>193.676846066</v>
      </c>
      <c r="BB52" s="98">
        <v>38.756619315000002</v>
      </c>
      <c r="BC52" s="98">
        <v>88.711025741</v>
      </c>
      <c r="BD52" s="98">
        <v>23.292246836</v>
      </c>
      <c r="BE52" s="98">
        <v>136.02355315599999</v>
      </c>
      <c r="BF52" s="98">
        <v>8.5044464669999993</v>
      </c>
      <c r="BG52" s="98">
        <v>0</v>
      </c>
      <c r="BH52" s="98">
        <v>0</v>
      </c>
      <c r="BI52" s="98">
        <v>0</v>
      </c>
      <c r="BJ52" s="98">
        <v>0</v>
      </c>
      <c r="BK52" s="98">
        <v>995.98739599999999</v>
      </c>
      <c r="BL52" s="98">
        <v>6.0816672000000002E-2</v>
      </c>
      <c r="BM52" s="98">
        <v>3.2917500000000002E-4</v>
      </c>
      <c r="BN52" s="98">
        <v>0</v>
      </c>
      <c r="BO52" s="98">
        <v>0</v>
      </c>
      <c r="BP52" s="98">
        <v>0</v>
      </c>
      <c r="BQ52" s="98">
        <v>0</v>
      </c>
      <c r="BR52" s="98">
        <v>0</v>
      </c>
      <c r="BS52" s="98">
        <v>0</v>
      </c>
      <c r="BT52" s="98">
        <v>181.13249052399999</v>
      </c>
      <c r="BU52" s="98">
        <v>0</v>
      </c>
      <c r="BV52" s="98">
        <v>0</v>
      </c>
      <c r="BW52" s="82">
        <v>0</v>
      </c>
      <c r="BX52" s="100"/>
    </row>
    <row r="53" spans="1:76">
      <c r="A53" s="101" t="s">
        <v>867</v>
      </c>
      <c r="B53" s="98">
        <v>56.995022781999999</v>
      </c>
      <c r="C53" s="98">
        <v>6.5000140000000001E-3</v>
      </c>
      <c r="D53" s="98">
        <v>3.8949509600000001</v>
      </c>
      <c r="E53" s="98">
        <v>82.429462266000002</v>
      </c>
      <c r="F53" s="98">
        <v>3.9415425370000001</v>
      </c>
      <c r="G53" s="98">
        <v>9.2769042779999999</v>
      </c>
      <c r="H53" s="98">
        <v>1.350627442</v>
      </c>
      <c r="I53" s="98">
        <v>77.770015822000005</v>
      </c>
      <c r="J53" s="98">
        <v>2.370811518</v>
      </c>
      <c r="K53" s="98">
        <v>33.397897604999997</v>
      </c>
      <c r="L53" s="98">
        <v>0.75997267899999998</v>
      </c>
      <c r="M53" s="98">
        <v>1.0684226999999999E-2</v>
      </c>
      <c r="N53" s="98">
        <v>3.2934555030000001</v>
      </c>
      <c r="O53" s="98">
        <v>74.833103014000002</v>
      </c>
      <c r="P53" s="98">
        <v>6.1073618490000001</v>
      </c>
      <c r="Q53" s="98">
        <v>5.5891004759999996</v>
      </c>
      <c r="R53" s="98">
        <v>2.6426234819999999</v>
      </c>
      <c r="S53" s="98">
        <v>18.146050497000001</v>
      </c>
      <c r="T53" s="98">
        <v>13.494937627000001</v>
      </c>
      <c r="U53" s="98">
        <v>39.759531352000003</v>
      </c>
      <c r="V53" s="98">
        <v>19.605636941</v>
      </c>
      <c r="W53" s="98">
        <v>4.0408865230000002</v>
      </c>
      <c r="X53" s="98">
        <v>82.257382097000004</v>
      </c>
      <c r="Y53" s="98">
        <v>38.946202030999999</v>
      </c>
      <c r="Z53" s="98">
        <v>143.85925335600001</v>
      </c>
      <c r="AA53" s="98">
        <v>59.269840840999997</v>
      </c>
      <c r="AB53" s="98">
        <v>247.07845145100001</v>
      </c>
      <c r="AC53" s="98">
        <v>122.956100791</v>
      </c>
      <c r="AD53" s="98">
        <v>47.659739061000003</v>
      </c>
      <c r="AE53" s="98">
        <v>200.45833437300001</v>
      </c>
      <c r="AF53" s="98">
        <v>98.318573743000002</v>
      </c>
      <c r="AG53" s="98">
        <v>12.717778095</v>
      </c>
      <c r="AH53" s="98">
        <v>413.631363432</v>
      </c>
      <c r="AI53" s="98">
        <v>137.94662917299999</v>
      </c>
      <c r="AJ53" s="98">
        <v>61.094243882999997</v>
      </c>
      <c r="AK53" s="98">
        <v>14.589656884</v>
      </c>
      <c r="AL53" s="98">
        <v>84.342092879000006</v>
      </c>
      <c r="AM53" s="98">
        <v>213.361314943</v>
      </c>
      <c r="AN53" s="98">
        <v>7.7878473110000002</v>
      </c>
      <c r="AO53" s="98">
        <v>348.81769237399999</v>
      </c>
      <c r="AP53" s="98">
        <v>216.92731718600001</v>
      </c>
      <c r="AQ53" s="98">
        <v>207.16337578100001</v>
      </c>
      <c r="AR53" s="98">
        <v>186.86697194199999</v>
      </c>
      <c r="AS53" s="98">
        <v>13.646489606999999</v>
      </c>
      <c r="AT53" s="98">
        <v>21.615258570000002</v>
      </c>
      <c r="AU53" s="98">
        <v>203.00350309500001</v>
      </c>
      <c r="AV53" s="98">
        <v>2266.1081921</v>
      </c>
      <c r="AW53" s="98">
        <v>177.39953213000001</v>
      </c>
      <c r="AX53" s="98">
        <v>49.719218509999997</v>
      </c>
      <c r="AY53" s="98">
        <v>102.4546831</v>
      </c>
      <c r="AZ53" s="98">
        <v>50.381660619000002</v>
      </c>
      <c r="BA53" s="98">
        <v>795.421695183</v>
      </c>
      <c r="BB53" s="98">
        <v>65.323233944999998</v>
      </c>
      <c r="BC53" s="98">
        <v>365.70517556300001</v>
      </c>
      <c r="BD53" s="98">
        <v>68.158614725999996</v>
      </c>
      <c r="BE53" s="98">
        <v>22.674402306000001</v>
      </c>
      <c r="BF53" s="98">
        <v>596.23400542599995</v>
      </c>
      <c r="BG53" s="98">
        <v>0</v>
      </c>
      <c r="BH53" s="98">
        <v>0</v>
      </c>
      <c r="BI53" s="98">
        <v>0</v>
      </c>
      <c r="BJ53" s="98">
        <v>0</v>
      </c>
      <c r="BK53" s="98">
        <v>367.23527167999998</v>
      </c>
      <c r="BL53" s="98">
        <v>3.3827899999999998E-4</v>
      </c>
      <c r="BM53" s="98">
        <v>5.383E-6</v>
      </c>
      <c r="BN53" s="98">
        <v>0</v>
      </c>
      <c r="BO53" s="98">
        <v>0</v>
      </c>
      <c r="BP53" s="98">
        <v>0</v>
      </c>
      <c r="BQ53" s="98">
        <v>0</v>
      </c>
      <c r="BR53" s="98">
        <v>0</v>
      </c>
      <c r="BS53" s="98">
        <v>0</v>
      </c>
      <c r="BT53" s="98">
        <v>49.656753766999998</v>
      </c>
      <c r="BU53" s="98">
        <v>0</v>
      </c>
      <c r="BV53" s="98">
        <v>0</v>
      </c>
      <c r="BW53" s="82">
        <v>0</v>
      </c>
      <c r="BX53" s="100"/>
    </row>
    <row r="54" spans="1:76">
      <c r="A54" s="101" t="s">
        <v>428</v>
      </c>
      <c r="B54" s="98">
        <v>13.941730700999999</v>
      </c>
      <c r="C54" s="98">
        <v>3.5009799999999999E-3</v>
      </c>
      <c r="D54" s="98">
        <v>1.990210724</v>
      </c>
      <c r="E54" s="98">
        <v>13.002539637</v>
      </c>
      <c r="F54" s="98">
        <v>2.190400093</v>
      </c>
      <c r="G54" s="98">
        <v>6.3384505019999997</v>
      </c>
      <c r="H54" s="98">
        <v>1.221782688</v>
      </c>
      <c r="I54" s="98">
        <v>17.060817598</v>
      </c>
      <c r="J54" s="98">
        <v>0.62747533899999997</v>
      </c>
      <c r="K54" s="98">
        <v>5.0934769170000003</v>
      </c>
      <c r="L54" s="98">
        <v>0.28317789100000001</v>
      </c>
      <c r="M54" s="98">
        <v>1.2432969E-2</v>
      </c>
      <c r="N54" s="98">
        <v>0.64695691799999999</v>
      </c>
      <c r="O54" s="98">
        <v>13.235996125</v>
      </c>
      <c r="P54" s="98">
        <v>1.015756243</v>
      </c>
      <c r="Q54" s="98">
        <v>0.90423456199999996</v>
      </c>
      <c r="R54" s="98">
        <v>0.72653829800000003</v>
      </c>
      <c r="S54" s="98">
        <v>3.4437177829999999</v>
      </c>
      <c r="T54" s="98">
        <v>3.077806727</v>
      </c>
      <c r="U54" s="98">
        <v>8.7920494659999999</v>
      </c>
      <c r="V54" s="98">
        <v>6.6811588830000002</v>
      </c>
      <c r="W54" s="98">
        <v>0.76412550499999998</v>
      </c>
      <c r="X54" s="98">
        <v>16.157036862999998</v>
      </c>
      <c r="Y54" s="98">
        <v>7.4963579280000001</v>
      </c>
      <c r="Z54" s="98">
        <v>25.787508413000001</v>
      </c>
      <c r="AA54" s="98">
        <v>11.611240653999999</v>
      </c>
      <c r="AB54" s="98">
        <v>51.582138634000003</v>
      </c>
      <c r="AC54" s="98">
        <v>37.647060731000003</v>
      </c>
      <c r="AD54" s="98">
        <v>12.192995993</v>
      </c>
      <c r="AE54" s="98">
        <v>41.608419830000003</v>
      </c>
      <c r="AF54" s="98">
        <v>11.491141181</v>
      </c>
      <c r="AG54" s="98">
        <v>4.1475632669999998</v>
      </c>
      <c r="AH54" s="98">
        <v>74.712648121000001</v>
      </c>
      <c r="AI54" s="98">
        <v>30.521466214</v>
      </c>
      <c r="AJ54" s="98">
        <v>6.5501288600000001</v>
      </c>
      <c r="AK54" s="98">
        <v>1.812810443</v>
      </c>
      <c r="AL54" s="98">
        <v>9.5730176480000004</v>
      </c>
      <c r="AM54" s="98">
        <v>23.092318854999998</v>
      </c>
      <c r="AN54" s="98">
        <v>1.0508256439999999</v>
      </c>
      <c r="AO54" s="98">
        <v>76.860537299000001</v>
      </c>
      <c r="AP54" s="98">
        <v>42.642623368999999</v>
      </c>
      <c r="AQ54" s="98">
        <v>30.349760498999999</v>
      </c>
      <c r="AR54" s="98">
        <v>16.127327373</v>
      </c>
      <c r="AS54" s="98">
        <v>3.3848010500000001</v>
      </c>
      <c r="AT54" s="98">
        <v>2.4407276480000002</v>
      </c>
      <c r="AU54" s="98">
        <v>20.282818626000001</v>
      </c>
      <c r="AV54" s="98">
        <v>470.20849600000003</v>
      </c>
      <c r="AW54" s="98">
        <v>193.49677299999999</v>
      </c>
      <c r="AX54" s="98">
        <v>23.523172379999998</v>
      </c>
      <c r="AY54" s="98">
        <v>77.625492100000002</v>
      </c>
      <c r="AZ54" s="98">
        <v>5.7018125489999996</v>
      </c>
      <c r="BA54" s="98">
        <v>43.095759321999999</v>
      </c>
      <c r="BB54" s="98">
        <v>25.381581077</v>
      </c>
      <c r="BC54" s="98">
        <v>58.487028616000003</v>
      </c>
      <c r="BD54" s="98">
        <v>7.0370758660000003</v>
      </c>
      <c r="BE54" s="98">
        <v>2.9523732090000001</v>
      </c>
      <c r="BF54" s="98">
        <v>20.441931651000001</v>
      </c>
      <c r="BG54" s="98">
        <v>0</v>
      </c>
      <c r="BH54" s="98">
        <v>0</v>
      </c>
      <c r="BI54" s="98">
        <v>0</v>
      </c>
      <c r="BJ54" s="98">
        <v>0</v>
      </c>
      <c r="BK54" s="98">
        <v>760.48315500000001</v>
      </c>
      <c r="BL54" s="98">
        <v>3.9443999999999997E-5</v>
      </c>
      <c r="BM54" s="98">
        <v>4.0500000000000002E-6</v>
      </c>
      <c r="BN54" s="98">
        <v>0</v>
      </c>
      <c r="BO54" s="98">
        <v>0</v>
      </c>
      <c r="BP54" s="98">
        <v>0</v>
      </c>
      <c r="BQ54" s="98">
        <v>0</v>
      </c>
      <c r="BR54" s="98">
        <v>0</v>
      </c>
      <c r="BS54" s="98">
        <v>0</v>
      </c>
      <c r="BT54" s="98">
        <v>143.775959755</v>
      </c>
      <c r="BU54" s="98">
        <v>0</v>
      </c>
      <c r="BV54" s="98">
        <v>0</v>
      </c>
      <c r="BW54" s="82">
        <v>0</v>
      </c>
      <c r="BX54" s="100"/>
    </row>
    <row r="55" spans="1:76">
      <c r="A55" s="101" t="s">
        <v>868</v>
      </c>
      <c r="B55" s="98">
        <v>225.50339565799999</v>
      </c>
      <c r="C55" s="98">
        <v>0.13238904600000001</v>
      </c>
      <c r="D55" s="98">
        <v>77.773899990999993</v>
      </c>
      <c r="E55" s="98">
        <v>102.379783766</v>
      </c>
      <c r="F55" s="98">
        <v>6.4081965299999997</v>
      </c>
      <c r="G55" s="98">
        <v>45.492799978999997</v>
      </c>
      <c r="H55" s="98">
        <v>9.7903034850000008</v>
      </c>
      <c r="I55" s="98">
        <v>97.819225846999998</v>
      </c>
      <c r="J55" s="98">
        <v>0.244160023</v>
      </c>
      <c r="K55" s="98">
        <v>2.8337232339999998</v>
      </c>
      <c r="L55" s="98">
        <v>0.105418658</v>
      </c>
      <c r="M55" s="98">
        <v>2.0604590000000002E-3</v>
      </c>
      <c r="N55" s="98">
        <v>9.8570247329999994</v>
      </c>
      <c r="O55" s="98">
        <v>15.223576635000001</v>
      </c>
      <c r="P55" s="98">
        <v>2.5909850790000002</v>
      </c>
      <c r="Q55" s="98">
        <v>267.619957</v>
      </c>
      <c r="R55" s="98">
        <v>246.8028568</v>
      </c>
      <c r="S55" s="98">
        <v>4.4400277539999999</v>
      </c>
      <c r="T55" s="98">
        <v>9.6878743200000006</v>
      </c>
      <c r="U55" s="98">
        <v>28.216009100000001</v>
      </c>
      <c r="V55" s="98">
        <v>11.13572465</v>
      </c>
      <c r="W55" s="98">
        <v>3.0317799999999999</v>
      </c>
      <c r="X55" s="98">
        <v>1.1937190369999999</v>
      </c>
      <c r="Y55" s="98">
        <v>4.5492295040000004</v>
      </c>
      <c r="Z55" s="98">
        <v>70.829273939999993</v>
      </c>
      <c r="AA55" s="98">
        <v>132.1033898</v>
      </c>
      <c r="AB55" s="98">
        <v>96.943240200000005</v>
      </c>
      <c r="AC55" s="98">
        <v>89.702600500000003</v>
      </c>
      <c r="AD55" s="98">
        <v>56.7228432</v>
      </c>
      <c r="AE55" s="98">
        <v>43.3229027</v>
      </c>
      <c r="AF55" s="98">
        <v>22.620225699999999</v>
      </c>
      <c r="AG55" s="98">
        <v>9.2950434600000005</v>
      </c>
      <c r="AH55" s="98">
        <v>153.73134200000001</v>
      </c>
      <c r="AI55" s="98">
        <v>63.311405200000003</v>
      </c>
      <c r="AJ55" s="98">
        <v>12.14771318</v>
      </c>
      <c r="AK55" s="98">
        <v>2.0914774</v>
      </c>
      <c r="AL55" s="98">
        <v>31.21952035</v>
      </c>
      <c r="AM55" s="98">
        <v>116.2845315</v>
      </c>
      <c r="AN55" s="98">
        <v>8.63006502</v>
      </c>
      <c r="AO55" s="98">
        <v>268.35287720000002</v>
      </c>
      <c r="AP55" s="98">
        <v>241.63900989999999</v>
      </c>
      <c r="AQ55" s="98">
        <v>57.121931080000003</v>
      </c>
      <c r="AR55" s="98">
        <v>47.25359349</v>
      </c>
      <c r="AS55" s="98">
        <v>2.4351787549999999</v>
      </c>
      <c r="AT55" s="98">
        <v>4.8338444200000001</v>
      </c>
      <c r="AU55" s="98">
        <v>160.21503279999999</v>
      </c>
      <c r="AV55" s="98">
        <v>1152.0793759999999</v>
      </c>
      <c r="AW55" s="98">
        <v>267.78938140000002</v>
      </c>
      <c r="AX55" s="98">
        <v>237.4194565</v>
      </c>
      <c r="AY55" s="98">
        <v>258.60741039999999</v>
      </c>
      <c r="AZ55" s="98">
        <v>43.319122790000002</v>
      </c>
      <c r="BA55" s="98">
        <v>337.20166760000001</v>
      </c>
      <c r="BB55" s="98">
        <v>82.559715299999993</v>
      </c>
      <c r="BC55" s="98">
        <v>630.85214429999996</v>
      </c>
      <c r="BD55" s="98">
        <v>69.136660186</v>
      </c>
      <c r="BE55" s="98">
        <v>527.838165</v>
      </c>
      <c r="BF55" s="98">
        <v>37.159994933</v>
      </c>
      <c r="BG55" s="98">
        <v>0</v>
      </c>
      <c r="BH55" s="98">
        <v>0</v>
      </c>
      <c r="BI55" s="98">
        <v>0</v>
      </c>
      <c r="BJ55" s="98">
        <v>0</v>
      </c>
      <c r="BK55" s="98">
        <v>1264.7520139999999</v>
      </c>
      <c r="BL55" s="98">
        <v>707.00015299999995</v>
      </c>
      <c r="BM55" s="98">
        <v>183.171184412</v>
      </c>
      <c r="BN55" s="98">
        <v>0</v>
      </c>
      <c r="BO55" s="98">
        <v>0</v>
      </c>
      <c r="BP55" s="98">
        <v>0</v>
      </c>
      <c r="BQ55" s="98">
        <v>0</v>
      </c>
      <c r="BR55" s="98">
        <v>0</v>
      </c>
      <c r="BS55" s="98">
        <v>0</v>
      </c>
      <c r="BT55" s="98">
        <v>1806.704255503</v>
      </c>
      <c r="BU55" s="98">
        <v>0</v>
      </c>
      <c r="BV55" s="98">
        <v>0</v>
      </c>
      <c r="BW55" s="82">
        <v>0</v>
      </c>
      <c r="BX55" s="100"/>
    </row>
    <row r="56" spans="1:76">
      <c r="A56" s="101" t="s">
        <v>869</v>
      </c>
      <c r="B56" s="98">
        <v>9.6523437039999997</v>
      </c>
      <c r="C56" s="98">
        <v>6.1083550000000002E-3</v>
      </c>
      <c r="D56" s="98">
        <v>3.7129539280000001</v>
      </c>
      <c r="E56" s="98">
        <v>7.3481993479999996</v>
      </c>
      <c r="F56" s="98">
        <v>0.69710292500000004</v>
      </c>
      <c r="G56" s="98">
        <v>1.5489316040000001</v>
      </c>
      <c r="H56" s="98">
        <v>0.118988893</v>
      </c>
      <c r="I56" s="98">
        <v>11.499043127</v>
      </c>
      <c r="J56" s="98">
        <v>4.5437446999999999E-2</v>
      </c>
      <c r="K56" s="98">
        <v>0.39295052400000002</v>
      </c>
      <c r="L56" s="98">
        <v>9.5959540000000003E-3</v>
      </c>
      <c r="M56" s="98">
        <v>3.4386200000000001E-4</v>
      </c>
      <c r="N56" s="98">
        <v>1.6964497620000001</v>
      </c>
      <c r="O56" s="98">
        <v>3.85787535</v>
      </c>
      <c r="P56" s="98">
        <v>0.112771516</v>
      </c>
      <c r="Q56" s="98">
        <v>12.272677159000001</v>
      </c>
      <c r="R56" s="98">
        <v>4.647908685</v>
      </c>
      <c r="S56" s="98">
        <v>0.41724795999999997</v>
      </c>
      <c r="T56" s="98">
        <v>1.0961181440000001</v>
      </c>
      <c r="U56" s="98">
        <v>2.1161637880000002</v>
      </c>
      <c r="V56" s="98">
        <v>0.78422623999999996</v>
      </c>
      <c r="W56" s="98">
        <v>0.221699281</v>
      </c>
      <c r="X56" s="98">
        <v>0.42410827400000001</v>
      </c>
      <c r="Y56" s="98">
        <v>0.30498952299999998</v>
      </c>
      <c r="Z56" s="98">
        <v>7.1263527729999998</v>
      </c>
      <c r="AA56" s="98">
        <v>9.4508403239999996</v>
      </c>
      <c r="AB56" s="98">
        <v>57.91422103</v>
      </c>
      <c r="AC56" s="98">
        <v>24.049265676000001</v>
      </c>
      <c r="AD56" s="98">
        <v>19.170804474000001</v>
      </c>
      <c r="AE56" s="98">
        <v>5.8728158690000001</v>
      </c>
      <c r="AF56" s="98">
        <v>4.6156176010000003</v>
      </c>
      <c r="AG56" s="98">
        <v>1.23103081</v>
      </c>
      <c r="AH56" s="98">
        <v>27.628579640000002</v>
      </c>
      <c r="AI56" s="98">
        <v>11.488605464000001</v>
      </c>
      <c r="AJ56" s="98">
        <v>0.973620653</v>
      </c>
      <c r="AK56" s="98">
        <v>0.162030428</v>
      </c>
      <c r="AL56" s="98">
        <v>7.8414032249999996</v>
      </c>
      <c r="AM56" s="98">
        <v>19.583603641</v>
      </c>
      <c r="AN56" s="98">
        <v>0.98253382499999997</v>
      </c>
      <c r="AO56" s="98">
        <v>17.050354627000001</v>
      </c>
      <c r="AP56" s="98">
        <v>59.978876051</v>
      </c>
      <c r="AQ56" s="98">
        <v>13.094748241</v>
      </c>
      <c r="AR56" s="98">
        <v>2.3461848289999998</v>
      </c>
      <c r="AS56" s="98">
        <v>0.122600187</v>
      </c>
      <c r="AT56" s="98">
        <v>1.492233709</v>
      </c>
      <c r="AU56" s="98">
        <v>14.03197898</v>
      </c>
      <c r="AV56" s="98">
        <v>118.00400372999999</v>
      </c>
      <c r="AW56" s="98">
        <v>14.764026413</v>
      </c>
      <c r="AX56" s="98">
        <v>1.9192521149999999</v>
      </c>
      <c r="AY56" s="98">
        <v>7.51210428</v>
      </c>
      <c r="AZ56" s="98">
        <v>15.882796108999999</v>
      </c>
      <c r="BA56" s="98">
        <v>77.875133779999999</v>
      </c>
      <c r="BB56" s="98">
        <v>26.346740350000001</v>
      </c>
      <c r="BC56" s="98">
        <v>54.995103987999997</v>
      </c>
      <c r="BD56" s="98">
        <v>57.599659420000002</v>
      </c>
      <c r="BE56" s="98">
        <v>848.44202745999996</v>
      </c>
      <c r="BF56" s="98">
        <v>39.396197667999999</v>
      </c>
      <c r="BG56" s="98">
        <v>0</v>
      </c>
      <c r="BH56" s="98">
        <v>0</v>
      </c>
      <c r="BI56" s="98">
        <v>0</v>
      </c>
      <c r="BJ56" s="98">
        <v>0</v>
      </c>
      <c r="BK56" s="98">
        <v>4707.5241429999996</v>
      </c>
      <c r="BL56" s="98">
        <v>361.23851078000001</v>
      </c>
      <c r="BM56" s="98">
        <v>0.53263435299999995</v>
      </c>
      <c r="BN56" s="98">
        <v>0</v>
      </c>
      <c r="BO56" s="98">
        <v>0</v>
      </c>
      <c r="BP56" s="98">
        <v>0</v>
      </c>
      <c r="BQ56" s="98">
        <v>0</v>
      </c>
      <c r="BR56" s="98">
        <v>0</v>
      </c>
      <c r="BS56" s="98">
        <v>0</v>
      </c>
      <c r="BT56" s="98">
        <v>986.148198073</v>
      </c>
      <c r="BU56" s="98">
        <v>0</v>
      </c>
      <c r="BV56" s="98">
        <v>0</v>
      </c>
      <c r="BW56" s="82">
        <v>0</v>
      </c>
      <c r="BX56" s="100"/>
    </row>
    <row r="57" spans="1:76">
      <c r="A57" s="101" t="s">
        <v>870</v>
      </c>
      <c r="B57" s="98">
        <v>2.6213799999999998E-4</v>
      </c>
      <c r="C57" s="98">
        <v>2.04E-7</v>
      </c>
      <c r="D57" s="98">
        <v>9.5322000000000007E-5</v>
      </c>
      <c r="E57" s="98">
        <v>7.5403199999999997E-4</v>
      </c>
      <c r="F57" s="98">
        <v>1.23091E-4</v>
      </c>
      <c r="G57" s="98">
        <v>1.78448E-4</v>
      </c>
      <c r="H57" s="98">
        <v>1.1310400000000001E-4</v>
      </c>
      <c r="I57" s="98">
        <v>1.773237E-3</v>
      </c>
      <c r="J57" s="98">
        <v>2.32418E-4</v>
      </c>
      <c r="K57" s="98">
        <v>1.403009E-3</v>
      </c>
      <c r="L57" s="98">
        <v>7.0086000000000006E-5</v>
      </c>
      <c r="M57" s="98">
        <v>1.4396000000000001E-5</v>
      </c>
      <c r="N57" s="98">
        <v>3.2299500000000002E-4</v>
      </c>
      <c r="O57" s="98">
        <v>9.0175829999999992E-3</v>
      </c>
      <c r="P57" s="98">
        <v>2.54493E-4</v>
      </c>
      <c r="Q57" s="98">
        <v>3.7517300000000002E-4</v>
      </c>
      <c r="R57" s="98">
        <v>2.2718599999999999E-4</v>
      </c>
      <c r="S57" s="98">
        <v>8.5672099999999996E-4</v>
      </c>
      <c r="T57" s="98">
        <v>7.0592500000000004E-4</v>
      </c>
      <c r="U57" s="98">
        <v>2.8949409999999998E-3</v>
      </c>
      <c r="V57" s="98">
        <v>5.3528871999999998E-2</v>
      </c>
      <c r="W57" s="98">
        <v>1.1259110000000001E-3</v>
      </c>
      <c r="X57" s="98">
        <v>6.727111E-3</v>
      </c>
      <c r="Y57" s="98">
        <v>0.76689728999999995</v>
      </c>
      <c r="Z57" s="98">
        <v>0.15237277900000001</v>
      </c>
      <c r="AA57" s="98">
        <v>1.21119E-2</v>
      </c>
      <c r="AB57" s="98">
        <v>0.118465208</v>
      </c>
      <c r="AC57" s="98">
        <v>5.9343826000000002E-2</v>
      </c>
      <c r="AD57" s="98">
        <v>7.0533080000000003E-3</v>
      </c>
      <c r="AE57" s="98">
        <v>9.7973309999999994E-3</v>
      </c>
      <c r="AF57" s="98">
        <v>0.35119367099999999</v>
      </c>
      <c r="AG57" s="98">
        <v>0.86396418200000002</v>
      </c>
      <c r="AH57" s="98">
        <v>6.1821111159999997</v>
      </c>
      <c r="AI57" s="98">
        <v>0.42259163999999999</v>
      </c>
      <c r="AJ57" s="98">
        <v>8.1906250999999999E-2</v>
      </c>
      <c r="AK57" s="98">
        <v>1.3678200000000001E-3</v>
      </c>
      <c r="AL57" s="98">
        <v>1.9795034999999999E-2</v>
      </c>
      <c r="AM57" s="98">
        <v>10.695934318999999</v>
      </c>
      <c r="AN57" s="98">
        <v>4.1596309999999996E-3</v>
      </c>
      <c r="AO57" s="98">
        <v>6.8185499849999998</v>
      </c>
      <c r="AP57" s="98">
        <v>0.68880626099999998</v>
      </c>
      <c r="AQ57" s="98">
        <v>0.137930519</v>
      </c>
      <c r="AR57" s="98">
        <v>1.6145370640000001</v>
      </c>
      <c r="AS57" s="98">
        <v>9.9330188999999999E-2</v>
      </c>
      <c r="AT57" s="98">
        <v>0.16403520299999999</v>
      </c>
      <c r="AU57" s="98">
        <v>0.37879518200000001</v>
      </c>
      <c r="AV57" s="98">
        <v>0.17923729199999999</v>
      </c>
      <c r="AW57" s="98">
        <v>0.12237390400000001</v>
      </c>
      <c r="AX57" s="98">
        <v>1.1622287E-2</v>
      </c>
      <c r="AY57" s="98">
        <v>4.5339814999999999E-2</v>
      </c>
      <c r="AZ57" s="98">
        <v>5.7185241999999997E-2</v>
      </c>
      <c r="BA57" s="98">
        <v>5.7958975959999997</v>
      </c>
      <c r="BB57" s="98">
        <v>1.244768788</v>
      </c>
      <c r="BC57" s="98">
        <v>15.77395668</v>
      </c>
      <c r="BD57" s="98">
        <v>5.1920092689999997</v>
      </c>
      <c r="BE57" s="98">
        <v>6.0146633879999998</v>
      </c>
      <c r="BF57" s="98">
        <v>0.80702180800000001</v>
      </c>
      <c r="BG57" s="98">
        <v>0</v>
      </c>
      <c r="BH57" s="98">
        <v>0</v>
      </c>
      <c r="BI57" s="98">
        <v>0</v>
      </c>
      <c r="BJ57" s="98">
        <v>0</v>
      </c>
      <c r="BK57" s="98">
        <v>892.56156910000004</v>
      </c>
      <c r="BL57" s="98">
        <v>10314.528591</v>
      </c>
      <c r="BM57" s="98">
        <v>3.4879709999999999E-3</v>
      </c>
      <c r="BN57" s="98">
        <v>0</v>
      </c>
      <c r="BO57" s="98">
        <v>0</v>
      </c>
      <c r="BP57" s="98">
        <v>0</v>
      </c>
      <c r="BQ57" s="98">
        <v>0</v>
      </c>
      <c r="BR57" s="98">
        <v>0</v>
      </c>
      <c r="BS57" s="98">
        <v>0</v>
      </c>
      <c r="BT57" s="98">
        <v>249.026442704</v>
      </c>
      <c r="BU57" s="98">
        <v>0</v>
      </c>
      <c r="BV57" s="98">
        <v>0</v>
      </c>
      <c r="BW57" s="82">
        <v>0</v>
      </c>
      <c r="BX57" s="100"/>
    </row>
    <row r="58" spans="1:76">
      <c r="A58" s="101" t="s">
        <v>871</v>
      </c>
      <c r="B58" s="98">
        <v>9.5602206999999995E-2</v>
      </c>
      <c r="C58" s="98">
        <v>7.5696200000000002E-4</v>
      </c>
      <c r="D58" s="98">
        <v>0.44210830299999998</v>
      </c>
      <c r="E58" s="98">
        <v>8.1131585000000006E-2</v>
      </c>
      <c r="F58" s="98">
        <v>7.7560379999999998E-3</v>
      </c>
      <c r="G58" s="98">
        <v>0.121527702</v>
      </c>
      <c r="H58" s="98">
        <v>2.4849702000000001E-2</v>
      </c>
      <c r="I58" s="98">
        <v>0.10072115099999999</v>
      </c>
      <c r="J58" s="98">
        <v>3.9140799999999999E-4</v>
      </c>
      <c r="K58" s="98">
        <v>1.8397439999999999E-3</v>
      </c>
      <c r="L58" s="98">
        <v>1.0944999999999999E-5</v>
      </c>
      <c r="M58" s="98">
        <v>5.8999999999999999E-8</v>
      </c>
      <c r="N58" s="98">
        <v>8.1970629999999992E-3</v>
      </c>
      <c r="O58" s="98">
        <v>4.5874610000000001E-3</v>
      </c>
      <c r="P58" s="98">
        <v>1.48546E-4</v>
      </c>
      <c r="Q58" s="98">
        <v>0.768490911</v>
      </c>
      <c r="R58" s="98">
        <v>1.3927476409999999</v>
      </c>
      <c r="S58" s="98">
        <v>1.8388759999999999E-3</v>
      </c>
      <c r="T58" s="98">
        <v>3.8471817999999998E-2</v>
      </c>
      <c r="U58" s="98">
        <v>3.8400106000000003E-2</v>
      </c>
      <c r="V58" s="98">
        <v>2.2856478E-2</v>
      </c>
      <c r="W58" s="98">
        <v>2.2476129999999999E-3</v>
      </c>
      <c r="X58" s="98">
        <v>5.7413469999999999E-3</v>
      </c>
      <c r="Y58" s="98">
        <v>5.3643969999999999E-3</v>
      </c>
      <c r="Z58" s="98">
        <v>6.5838531000000006E-2</v>
      </c>
      <c r="AA58" s="98">
        <v>0.120446637</v>
      </c>
      <c r="AB58" s="98">
        <v>0.159194365</v>
      </c>
      <c r="AC58" s="98">
        <v>0.10530115700000001</v>
      </c>
      <c r="AD58" s="98">
        <v>8.2564740999999997E-2</v>
      </c>
      <c r="AE58" s="98">
        <v>4.1851744000000003E-2</v>
      </c>
      <c r="AF58" s="98">
        <v>1.8483060999999999E-2</v>
      </c>
      <c r="AG58" s="98">
        <v>9.6941219999999995E-3</v>
      </c>
      <c r="AH58" s="98">
        <v>0.14479418099999999</v>
      </c>
      <c r="AI58" s="98">
        <v>5.7620156999999998E-2</v>
      </c>
      <c r="AJ58" s="98">
        <v>1.714531E-3</v>
      </c>
      <c r="AK58" s="98">
        <v>5.0042499999999998E-4</v>
      </c>
      <c r="AL58" s="98">
        <v>2.6786939999999999E-2</v>
      </c>
      <c r="AM58" s="98">
        <v>5.5045023999999998E-2</v>
      </c>
      <c r="AN58" s="98">
        <v>6.459472E-3</v>
      </c>
      <c r="AO58" s="98">
        <v>7.4896804999999997E-2</v>
      </c>
      <c r="AP58" s="98">
        <v>0.124783345</v>
      </c>
      <c r="AQ58" s="98">
        <v>3.4742080000000002E-2</v>
      </c>
      <c r="AR58" s="98">
        <v>2.0724701000000002E-2</v>
      </c>
      <c r="AS58" s="98">
        <v>2.3158369999999998E-3</v>
      </c>
      <c r="AT58" s="98">
        <v>4.119279E-3</v>
      </c>
      <c r="AU58" s="98">
        <v>1.01908982</v>
      </c>
      <c r="AV58" s="98">
        <v>7.6802339599999998</v>
      </c>
      <c r="AW58" s="98">
        <v>0.368442088</v>
      </c>
      <c r="AX58" s="98">
        <v>1.1028744E-2</v>
      </c>
      <c r="AY58" s="98">
        <v>4.2610402999999998E-2</v>
      </c>
      <c r="AZ58" s="98">
        <v>0.141377956</v>
      </c>
      <c r="BA58" s="98">
        <v>0.60796660199999997</v>
      </c>
      <c r="BB58" s="98">
        <v>9.8618969000000001E-2</v>
      </c>
      <c r="BC58" s="98">
        <v>3.0133550200000001</v>
      </c>
      <c r="BD58" s="98">
        <v>0.116641567</v>
      </c>
      <c r="BE58" s="98">
        <v>2.2625453499999999</v>
      </c>
      <c r="BF58" s="98">
        <v>9.7483537999999995E-2</v>
      </c>
      <c r="BG58" s="98">
        <v>0</v>
      </c>
      <c r="BH58" s="98">
        <v>0</v>
      </c>
      <c r="BI58" s="98">
        <v>0</v>
      </c>
      <c r="BJ58" s="98">
        <v>0</v>
      </c>
      <c r="BK58" s="98">
        <v>5987.3891609929997</v>
      </c>
      <c r="BL58" s="98">
        <v>175.417938005</v>
      </c>
      <c r="BM58" s="98">
        <v>1.5332207E-2</v>
      </c>
      <c r="BN58" s="98">
        <v>0</v>
      </c>
      <c r="BO58" s="98">
        <v>0</v>
      </c>
      <c r="BP58" s="98">
        <v>0</v>
      </c>
      <c r="BQ58" s="98">
        <v>0</v>
      </c>
      <c r="BR58" s="98">
        <v>0</v>
      </c>
      <c r="BS58" s="98">
        <v>0</v>
      </c>
      <c r="BT58" s="98">
        <v>978</v>
      </c>
      <c r="BU58" s="98">
        <v>0</v>
      </c>
      <c r="BV58" s="98">
        <v>0</v>
      </c>
      <c r="BW58" s="82">
        <v>0</v>
      </c>
      <c r="BX58" s="100"/>
    </row>
    <row r="59" spans="1:76">
      <c r="A59" s="101" t="s">
        <v>997</v>
      </c>
      <c r="B59" s="98">
        <v>1092.56421</v>
      </c>
      <c r="C59" s="98">
        <v>0.18931123599999999</v>
      </c>
      <c r="D59" s="98">
        <v>98.771881100000002</v>
      </c>
      <c r="E59" s="98">
        <v>1030.5294200000001</v>
      </c>
      <c r="F59" s="98">
        <v>51.935047099999998</v>
      </c>
      <c r="G59" s="98">
        <v>130.042618</v>
      </c>
      <c r="H59" s="98">
        <v>30.206028</v>
      </c>
      <c r="I59" s="98">
        <v>1130.6031499999999</v>
      </c>
      <c r="J59" s="98">
        <v>36.7525063</v>
      </c>
      <c r="K59" s="98">
        <v>341.86227400000001</v>
      </c>
      <c r="L59" s="98">
        <v>15.7262363</v>
      </c>
      <c r="M59" s="98">
        <v>0.240832359</v>
      </c>
      <c r="N59" s="98">
        <v>98.341224699999998</v>
      </c>
      <c r="O59" s="98">
        <v>244.205399</v>
      </c>
      <c r="P59" s="98">
        <v>36.171955099999998</v>
      </c>
      <c r="Q59" s="98">
        <v>27.474184000000001</v>
      </c>
      <c r="R59" s="98">
        <v>71.493278500000002</v>
      </c>
      <c r="S59" s="98">
        <v>66.391433699999993</v>
      </c>
      <c r="T59" s="98">
        <v>47.7128716</v>
      </c>
      <c r="U59" s="98">
        <v>183.605591</v>
      </c>
      <c r="V59" s="98">
        <v>36.024501800000003</v>
      </c>
      <c r="W59" s="98">
        <v>16.184154500000002</v>
      </c>
      <c r="X59" s="98">
        <v>131.156677</v>
      </c>
      <c r="Y59" s="98">
        <v>104.557671</v>
      </c>
      <c r="Z59" s="98">
        <v>287.97085600000003</v>
      </c>
      <c r="AA59" s="98">
        <v>173.18580600000001</v>
      </c>
      <c r="AB59" s="98">
        <v>921.01159700000005</v>
      </c>
      <c r="AC59" s="98">
        <v>713.78253199999995</v>
      </c>
      <c r="AD59" s="98">
        <v>256.25003099999998</v>
      </c>
      <c r="AE59" s="98">
        <v>308.202698</v>
      </c>
      <c r="AF59" s="98">
        <v>206.16009500000001</v>
      </c>
      <c r="AG59" s="98">
        <v>48.172584499999999</v>
      </c>
      <c r="AH59" s="98">
        <v>724.10638400000005</v>
      </c>
      <c r="AI59" s="98">
        <v>278.64453099999997</v>
      </c>
      <c r="AJ59" s="98">
        <v>177.26213100000001</v>
      </c>
      <c r="AK59" s="98">
        <v>21.5923309</v>
      </c>
      <c r="AL59" s="98">
        <v>150.832413</v>
      </c>
      <c r="AM59" s="98">
        <v>640.63781700000004</v>
      </c>
      <c r="AN59" s="98">
        <v>39.2405586</v>
      </c>
      <c r="AO59" s="98">
        <v>779.70916699999998</v>
      </c>
      <c r="AP59" s="98">
        <v>589.50683600000002</v>
      </c>
      <c r="AQ59" s="98">
        <v>586.61511199999995</v>
      </c>
      <c r="AR59" s="98">
        <v>387.31842</v>
      </c>
      <c r="AS59" s="98">
        <v>30.6458035</v>
      </c>
      <c r="AT59" s="98">
        <v>48.929107700000003</v>
      </c>
      <c r="AU59" s="98">
        <v>894.56292699999995</v>
      </c>
      <c r="AV59" s="98">
        <v>1853.6481900000001</v>
      </c>
      <c r="AW59" s="98">
        <v>1120.42896</v>
      </c>
      <c r="AX59" s="98">
        <v>108.683044</v>
      </c>
      <c r="AY59" s="98">
        <v>355.057434</v>
      </c>
      <c r="AZ59" s="98">
        <v>205.18554700000001</v>
      </c>
      <c r="BA59" s="98">
        <v>882.37957800000004</v>
      </c>
      <c r="BB59" s="98">
        <v>356.83416699999998</v>
      </c>
      <c r="BC59" s="98">
        <v>700.20269800000005</v>
      </c>
      <c r="BD59" s="98">
        <v>406.13961799999998</v>
      </c>
      <c r="BE59" s="98">
        <v>2482.6484399999999</v>
      </c>
      <c r="BF59" s="98">
        <v>699.11614999999995</v>
      </c>
      <c r="BG59" s="98">
        <v>0</v>
      </c>
      <c r="BH59" s="98">
        <v>0</v>
      </c>
      <c r="BI59" s="98">
        <v>0</v>
      </c>
      <c r="BJ59" s="98">
        <v>0</v>
      </c>
      <c r="BK59" s="98">
        <v>0</v>
      </c>
      <c r="BL59" s="98">
        <v>0</v>
      </c>
      <c r="BM59" s="98">
        <v>0</v>
      </c>
      <c r="BN59" s="98">
        <v>0</v>
      </c>
      <c r="BO59" s="98">
        <v>0</v>
      </c>
      <c r="BP59" s="98">
        <v>0</v>
      </c>
      <c r="BQ59" s="98">
        <v>0</v>
      </c>
      <c r="BR59" s="98">
        <v>0</v>
      </c>
      <c r="BS59" s="98">
        <v>0</v>
      </c>
      <c r="BT59" s="98">
        <v>0</v>
      </c>
      <c r="BU59" s="98">
        <v>0</v>
      </c>
      <c r="BV59" s="98">
        <v>0</v>
      </c>
      <c r="BW59" s="82">
        <v>0</v>
      </c>
      <c r="BX59" s="100"/>
    </row>
    <row r="60" spans="1:76">
      <c r="A60" s="101" t="s">
        <v>873</v>
      </c>
      <c r="B60" s="98">
        <v>1.09365785</v>
      </c>
      <c r="C60" s="98">
        <v>1.895E-4</v>
      </c>
      <c r="D60" s="98">
        <v>9.8870754000000005E-2</v>
      </c>
      <c r="E60" s="98">
        <v>1.0315610200000001</v>
      </c>
      <c r="F60" s="98">
        <v>5.1987037E-2</v>
      </c>
      <c r="G60" s="98">
        <v>0.13017278900000001</v>
      </c>
      <c r="H60" s="98">
        <v>3.0236261E-2</v>
      </c>
      <c r="I60" s="98">
        <v>1.1317349699999999</v>
      </c>
      <c r="J60" s="98">
        <v>3.6789297999999998E-2</v>
      </c>
      <c r="K60" s="98">
        <v>0.342204481</v>
      </c>
      <c r="L60" s="98">
        <v>1.5741978E-2</v>
      </c>
      <c r="M60" s="98">
        <v>2.41072E-4</v>
      </c>
      <c r="N60" s="98">
        <v>9.8439671000000006E-2</v>
      </c>
      <c r="O60" s="98">
        <v>0.24444986899999999</v>
      </c>
      <c r="P60" s="98">
        <v>3.7529397000000002</v>
      </c>
      <c r="Q60" s="98">
        <v>5.94939661</v>
      </c>
      <c r="R60" s="98">
        <v>11.638439200000001</v>
      </c>
      <c r="S60" s="98">
        <v>10.1846142</v>
      </c>
      <c r="T60" s="98">
        <v>8.0916566799999998</v>
      </c>
      <c r="U60" s="98">
        <v>31.137786899999998</v>
      </c>
      <c r="V60" s="98">
        <v>8.0152311300000001</v>
      </c>
      <c r="W60" s="98">
        <v>2.5692105299999999</v>
      </c>
      <c r="X60" s="98">
        <v>24.982221599999999</v>
      </c>
      <c r="Y60" s="98">
        <v>23.263442999999999</v>
      </c>
      <c r="Z60" s="98">
        <v>64.071754499999997</v>
      </c>
      <c r="AA60" s="98">
        <v>25.878337899999998</v>
      </c>
      <c r="AB60" s="98">
        <v>143.74169900000001</v>
      </c>
      <c r="AC60" s="98">
        <v>105.71520200000001</v>
      </c>
      <c r="AD60" s="98">
        <v>39.309406299999999</v>
      </c>
      <c r="AE60" s="98">
        <v>40.048938800000002</v>
      </c>
      <c r="AF60" s="98">
        <v>41.331016499999997</v>
      </c>
      <c r="AG60" s="98">
        <v>9.7968320799999997</v>
      </c>
      <c r="AH60" s="98">
        <v>173.17538500000001</v>
      </c>
      <c r="AI60" s="98">
        <v>48.019634199999999</v>
      </c>
      <c r="AJ60" s="98">
        <v>29.337085699999999</v>
      </c>
      <c r="AK60" s="98">
        <v>4.0517673500000004</v>
      </c>
      <c r="AL60" s="98">
        <v>27.667484300000002</v>
      </c>
      <c r="AM60" s="98">
        <v>132.14604199999999</v>
      </c>
      <c r="AN60" s="98">
        <v>8.09425259</v>
      </c>
      <c r="AO60" s="98">
        <v>196.14711</v>
      </c>
      <c r="AP60" s="98">
        <v>148.29896500000001</v>
      </c>
      <c r="AQ60" s="98">
        <v>77.728156999999996</v>
      </c>
      <c r="AR60" s="98">
        <v>184.79151899999999</v>
      </c>
      <c r="AS60" s="98">
        <v>14.6212626</v>
      </c>
      <c r="AT60" s="98">
        <v>23.344316500000001</v>
      </c>
      <c r="AU60" s="98">
        <v>157.864059</v>
      </c>
      <c r="AV60" s="98">
        <v>376.97537199999999</v>
      </c>
      <c r="AW60" s="98">
        <v>227.86102299999999</v>
      </c>
      <c r="AX60" s="98">
        <v>22.1028099</v>
      </c>
      <c r="AY60" s="98">
        <v>72.207832300000007</v>
      </c>
      <c r="AZ60" s="98">
        <v>159.913284</v>
      </c>
      <c r="BA60" s="98">
        <v>687.69067399999994</v>
      </c>
      <c r="BB60" s="98">
        <v>278.10205100000002</v>
      </c>
      <c r="BC60" s="98">
        <v>545.70953399999996</v>
      </c>
      <c r="BD60" s="98">
        <v>316.52871699999997</v>
      </c>
      <c r="BE60" s="98">
        <v>3818.4902299999999</v>
      </c>
      <c r="BF60" s="98">
        <v>0</v>
      </c>
      <c r="BG60" s="98">
        <v>0</v>
      </c>
      <c r="BH60" s="98">
        <v>0</v>
      </c>
      <c r="BI60" s="98">
        <v>0</v>
      </c>
      <c r="BJ60" s="98">
        <v>0</v>
      </c>
      <c r="BK60" s="98">
        <v>0</v>
      </c>
      <c r="BL60" s="98">
        <v>0</v>
      </c>
      <c r="BM60" s="98">
        <v>0</v>
      </c>
      <c r="BN60" s="98">
        <v>0</v>
      </c>
      <c r="BO60" s="98">
        <v>0</v>
      </c>
      <c r="BP60" s="98">
        <v>0</v>
      </c>
      <c r="BQ60" s="98">
        <v>0</v>
      </c>
      <c r="BR60" s="98">
        <v>0</v>
      </c>
      <c r="BS60" s="98">
        <v>0</v>
      </c>
      <c r="BT60" s="98">
        <v>0</v>
      </c>
      <c r="BU60" s="98">
        <v>0</v>
      </c>
      <c r="BV60" s="98">
        <v>0</v>
      </c>
      <c r="BW60" s="82">
        <v>0</v>
      </c>
      <c r="BX60" s="100"/>
    </row>
    <row r="61" spans="1:76">
      <c r="A61" s="101" t="s">
        <v>874</v>
      </c>
      <c r="B61" s="98">
        <v>1510.289366</v>
      </c>
      <c r="C61" s="98">
        <v>0.26169015400000001</v>
      </c>
      <c r="D61" s="98">
        <v>136.5358014</v>
      </c>
      <c r="E61" s="98">
        <v>1424.536439</v>
      </c>
      <c r="F61" s="98">
        <v>71.791622200000006</v>
      </c>
      <c r="G61" s="98">
        <v>179.76242300000001</v>
      </c>
      <c r="H61" s="98">
        <v>41.754835110000002</v>
      </c>
      <c r="I61" s="98">
        <v>188.62248199999999</v>
      </c>
      <c r="J61" s="98">
        <v>50.804271739999997</v>
      </c>
      <c r="K61" s="98">
        <v>472.56807750000002</v>
      </c>
      <c r="L61" s="98">
        <v>21.73892215</v>
      </c>
      <c r="M61" s="98">
        <v>0.332909546</v>
      </c>
      <c r="N61" s="98">
        <v>192.5000004</v>
      </c>
      <c r="O61" s="98">
        <v>1483.798706</v>
      </c>
      <c r="P61" s="98">
        <v>133.92531589999999</v>
      </c>
      <c r="Q61" s="98">
        <v>184.44838680000001</v>
      </c>
      <c r="R61" s="98">
        <v>279.68539399999997</v>
      </c>
      <c r="S61" s="98">
        <v>421.26298910000003</v>
      </c>
      <c r="T61" s="98">
        <v>119.071274</v>
      </c>
      <c r="U61" s="98">
        <v>488.72323599999999</v>
      </c>
      <c r="V61" s="98">
        <v>299.66687000000002</v>
      </c>
      <c r="W61" s="98">
        <v>45.3412018</v>
      </c>
      <c r="X61" s="98">
        <v>267.19494600000002</v>
      </c>
      <c r="Y61" s="98">
        <v>310.78552200000001</v>
      </c>
      <c r="Z61" s="98">
        <v>1236.7927199999999</v>
      </c>
      <c r="AA61" s="98">
        <v>698.21856700000001</v>
      </c>
      <c r="AB61" s="98">
        <v>2117.27979</v>
      </c>
      <c r="AC61" s="98">
        <v>1252.50488</v>
      </c>
      <c r="AD61" s="98">
        <v>916.18109100000004</v>
      </c>
      <c r="AE61" s="98">
        <v>682.93823199999997</v>
      </c>
      <c r="AF61" s="98">
        <v>821.41418499999997</v>
      </c>
      <c r="AG61" s="98">
        <v>414.33142099999998</v>
      </c>
      <c r="AH61" s="98">
        <v>2144.77979</v>
      </c>
      <c r="AI61" s="98">
        <v>953.57665999999995</v>
      </c>
      <c r="AJ61" s="98">
        <v>435.10659800000002</v>
      </c>
      <c r="AK61" s="98">
        <v>53.139907800000003</v>
      </c>
      <c r="AL61" s="98">
        <v>550.45336899999995</v>
      </c>
      <c r="AM61" s="98">
        <v>1809.34448</v>
      </c>
      <c r="AN61" s="98">
        <v>54.380657200000002</v>
      </c>
      <c r="AO61" s="98">
        <v>3831.8703599999999</v>
      </c>
      <c r="AP61" s="98">
        <v>1952.77478</v>
      </c>
      <c r="AQ61" s="98">
        <v>1379.8951400000001</v>
      </c>
      <c r="AR61" s="98">
        <v>2153.5451699999999</v>
      </c>
      <c r="AS61" s="98">
        <v>277.15325899999999</v>
      </c>
      <c r="AT61" s="98">
        <v>127.75518</v>
      </c>
      <c r="AU61" s="98">
        <v>2482.1460000000002</v>
      </c>
      <c r="AV61" s="98">
        <v>13402.823200000001</v>
      </c>
      <c r="AW61" s="98">
        <v>2872.9067399999999</v>
      </c>
      <c r="AX61" s="98">
        <v>362.85940599999998</v>
      </c>
      <c r="AY61" s="98">
        <v>1193.0141599999999</v>
      </c>
      <c r="AZ61" s="98">
        <v>1406.37671</v>
      </c>
      <c r="BA61" s="98">
        <v>4121.8486300000004</v>
      </c>
      <c r="BB61" s="98">
        <v>554.46270800000002</v>
      </c>
      <c r="BC61" s="98">
        <v>2533.2123999999999</v>
      </c>
      <c r="BD61" s="98">
        <v>927.68945299999996</v>
      </c>
      <c r="BE61" s="98">
        <v>748.57220500000005</v>
      </c>
      <c r="BF61" s="98">
        <v>3718.0959499999999</v>
      </c>
      <c r="BG61" s="98">
        <v>0</v>
      </c>
      <c r="BH61" s="98">
        <v>0</v>
      </c>
      <c r="BI61" s="98">
        <v>0</v>
      </c>
      <c r="BJ61" s="98">
        <v>0</v>
      </c>
      <c r="BK61" s="98">
        <v>0</v>
      </c>
      <c r="BL61" s="98">
        <v>0</v>
      </c>
      <c r="BM61" s="98">
        <v>0</v>
      </c>
      <c r="BN61" s="98">
        <v>0</v>
      </c>
      <c r="BO61" s="98">
        <v>0</v>
      </c>
      <c r="BP61" s="98">
        <v>0</v>
      </c>
      <c r="BQ61" s="98">
        <v>0</v>
      </c>
      <c r="BR61" s="98">
        <v>0</v>
      </c>
      <c r="BS61" s="98">
        <v>0</v>
      </c>
      <c r="BT61" s="98">
        <v>0</v>
      </c>
      <c r="BU61" s="98">
        <v>0</v>
      </c>
      <c r="BV61" s="98">
        <v>0</v>
      </c>
      <c r="BW61" s="82">
        <v>0</v>
      </c>
      <c r="BX61" s="100"/>
    </row>
    <row r="62" spans="1:76">
      <c r="A62" s="101" t="s">
        <v>875</v>
      </c>
      <c r="B62" s="98">
        <v>0</v>
      </c>
      <c r="C62" s="98">
        <v>0</v>
      </c>
      <c r="D62" s="98">
        <v>0</v>
      </c>
      <c r="E62" s="98">
        <v>0</v>
      </c>
      <c r="F62" s="98">
        <v>0</v>
      </c>
      <c r="G62" s="98">
        <v>0</v>
      </c>
      <c r="H62" s="98">
        <v>0</v>
      </c>
      <c r="I62" s="98">
        <v>1374.2495100000001</v>
      </c>
      <c r="J62" s="98">
        <v>0</v>
      </c>
      <c r="K62" s="98">
        <v>0</v>
      </c>
      <c r="L62" s="98">
        <v>0</v>
      </c>
      <c r="M62" s="98">
        <v>0</v>
      </c>
      <c r="N62" s="98">
        <v>0</v>
      </c>
      <c r="O62" s="98">
        <v>0</v>
      </c>
      <c r="P62" s="98">
        <v>0</v>
      </c>
      <c r="Q62" s="98">
        <v>0</v>
      </c>
      <c r="R62" s="98">
        <v>0</v>
      </c>
      <c r="S62" s="98">
        <v>0</v>
      </c>
      <c r="T62" s="98">
        <v>0</v>
      </c>
      <c r="U62" s="98">
        <v>0</v>
      </c>
      <c r="V62" s="98">
        <v>0</v>
      </c>
      <c r="W62" s="98">
        <v>0</v>
      </c>
      <c r="X62" s="98">
        <v>0</v>
      </c>
      <c r="Y62" s="98">
        <v>0</v>
      </c>
      <c r="Z62" s="98">
        <v>0</v>
      </c>
      <c r="AA62" s="98">
        <v>0</v>
      </c>
      <c r="AB62" s="98">
        <v>0</v>
      </c>
      <c r="AC62" s="98">
        <v>0</v>
      </c>
      <c r="AD62" s="98">
        <v>0</v>
      </c>
      <c r="AE62" s="98">
        <v>0</v>
      </c>
      <c r="AF62" s="98">
        <v>0</v>
      </c>
      <c r="AG62" s="98">
        <v>0</v>
      </c>
      <c r="AH62" s="98">
        <v>0</v>
      </c>
      <c r="AI62" s="98">
        <v>0</v>
      </c>
      <c r="AJ62" s="98">
        <v>0</v>
      </c>
      <c r="AK62" s="98">
        <v>0</v>
      </c>
      <c r="AL62" s="98">
        <v>0</v>
      </c>
      <c r="AM62" s="98">
        <v>0</v>
      </c>
      <c r="AN62" s="98">
        <v>0</v>
      </c>
      <c r="AO62" s="98">
        <v>0</v>
      </c>
      <c r="AP62" s="98">
        <v>0</v>
      </c>
      <c r="AQ62" s="98">
        <v>0</v>
      </c>
      <c r="AR62" s="98">
        <v>0</v>
      </c>
      <c r="AS62" s="98">
        <v>0</v>
      </c>
      <c r="AT62" s="98">
        <v>0</v>
      </c>
      <c r="AU62" s="98">
        <v>0</v>
      </c>
      <c r="AV62" s="98">
        <v>0</v>
      </c>
      <c r="AW62" s="98">
        <v>0</v>
      </c>
      <c r="AX62" s="98">
        <v>0</v>
      </c>
      <c r="AY62" s="98">
        <v>0</v>
      </c>
      <c r="AZ62" s="98">
        <v>0</v>
      </c>
      <c r="BA62" s="98">
        <v>0</v>
      </c>
      <c r="BB62" s="98">
        <v>0</v>
      </c>
      <c r="BC62" s="98">
        <v>0</v>
      </c>
      <c r="BD62" s="98">
        <v>0</v>
      </c>
      <c r="BE62" s="98">
        <v>0</v>
      </c>
      <c r="BF62" s="98">
        <v>0</v>
      </c>
      <c r="BG62" s="98">
        <v>0</v>
      </c>
      <c r="BH62" s="98">
        <v>0</v>
      </c>
      <c r="BI62" s="98">
        <v>0</v>
      </c>
      <c r="BJ62" s="98">
        <v>0</v>
      </c>
      <c r="BK62" s="98">
        <v>0</v>
      </c>
      <c r="BL62" s="98">
        <v>0</v>
      </c>
      <c r="BM62" s="98">
        <v>0</v>
      </c>
      <c r="BN62" s="98">
        <v>0</v>
      </c>
      <c r="BO62" s="98">
        <v>0</v>
      </c>
      <c r="BP62" s="98">
        <v>0</v>
      </c>
      <c r="BQ62" s="98">
        <v>0</v>
      </c>
      <c r="BR62" s="98">
        <v>0</v>
      </c>
      <c r="BS62" s="98">
        <v>0</v>
      </c>
      <c r="BT62" s="98">
        <v>0</v>
      </c>
      <c r="BU62" s="98">
        <v>0</v>
      </c>
      <c r="BV62" s="98">
        <v>0</v>
      </c>
      <c r="BW62" s="82">
        <v>0</v>
      </c>
      <c r="BX62" s="100"/>
    </row>
    <row r="63" spans="1:76">
      <c r="A63" s="101" t="s">
        <v>876</v>
      </c>
      <c r="B63" s="98">
        <v>0</v>
      </c>
      <c r="C63" s="98">
        <v>0</v>
      </c>
      <c r="D63" s="98">
        <v>0</v>
      </c>
      <c r="E63" s="98">
        <v>0</v>
      </c>
      <c r="F63" s="98">
        <v>0</v>
      </c>
      <c r="G63" s="98">
        <v>0</v>
      </c>
      <c r="H63" s="98">
        <v>0</v>
      </c>
      <c r="I63" s="98">
        <v>0</v>
      </c>
      <c r="J63" s="98">
        <v>0</v>
      </c>
      <c r="K63" s="98">
        <v>0</v>
      </c>
      <c r="L63" s="98">
        <v>0</v>
      </c>
      <c r="M63" s="98">
        <v>0</v>
      </c>
      <c r="N63" s="98">
        <v>0</v>
      </c>
      <c r="O63" s="98">
        <v>0</v>
      </c>
      <c r="P63" s="98">
        <v>0</v>
      </c>
      <c r="Q63" s="98">
        <v>0</v>
      </c>
      <c r="R63" s="98">
        <v>0</v>
      </c>
      <c r="S63" s="98">
        <v>0</v>
      </c>
      <c r="T63" s="98">
        <v>0</v>
      </c>
      <c r="U63" s="98">
        <v>0</v>
      </c>
      <c r="V63" s="98">
        <v>0</v>
      </c>
      <c r="W63" s="98">
        <v>0</v>
      </c>
      <c r="X63" s="98">
        <v>0</v>
      </c>
      <c r="Y63" s="98">
        <v>0</v>
      </c>
      <c r="Z63" s="98">
        <v>0</v>
      </c>
      <c r="AA63" s="98">
        <v>0</v>
      </c>
      <c r="AB63" s="98">
        <v>0</v>
      </c>
      <c r="AC63" s="98">
        <v>0</v>
      </c>
      <c r="AD63" s="98">
        <v>0</v>
      </c>
      <c r="AE63" s="98">
        <v>0</v>
      </c>
      <c r="AF63" s="98">
        <v>0</v>
      </c>
      <c r="AG63" s="98">
        <v>0</v>
      </c>
      <c r="AH63" s="98">
        <v>0</v>
      </c>
      <c r="AI63" s="98">
        <v>0</v>
      </c>
      <c r="AJ63" s="98">
        <v>0</v>
      </c>
      <c r="AK63" s="98">
        <v>0</v>
      </c>
      <c r="AL63" s="98">
        <v>0</v>
      </c>
      <c r="AM63" s="98">
        <v>0</v>
      </c>
      <c r="AN63" s="98">
        <v>0</v>
      </c>
      <c r="AO63" s="98">
        <v>0</v>
      </c>
      <c r="AP63" s="98">
        <v>0</v>
      </c>
      <c r="AQ63" s="98">
        <v>0</v>
      </c>
      <c r="AR63" s="98">
        <v>0</v>
      </c>
      <c r="AS63" s="98">
        <v>0</v>
      </c>
      <c r="AT63" s="98">
        <v>0</v>
      </c>
      <c r="AU63" s="98">
        <v>0</v>
      </c>
      <c r="AV63" s="98">
        <v>0</v>
      </c>
      <c r="AW63" s="98">
        <v>0</v>
      </c>
      <c r="AX63" s="98">
        <v>0</v>
      </c>
      <c r="AY63" s="98">
        <v>0</v>
      </c>
      <c r="AZ63" s="98">
        <v>0</v>
      </c>
      <c r="BA63" s="98">
        <v>0</v>
      </c>
      <c r="BB63" s="98">
        <v>0</v>
      </c>
      <c r="BC63" s="98">
        <v>0</v>
      </c>
      <c r="BD63" s="98">
        <v>0</v>
      </c>
      <c r="BE63" s="98">
        <v>0</v>
      </c>
      <c r="BF63" s="98">
        <v>0</v>
      </c>
      <c r="BG63" s="98">
        <v>22457.406020495</v>
      </c>
      <c r="BH63" s="98">
        <v>8334.6529706199999</v>
      </c>
      <c r="BI63" s="98">
        <v>66512.846480801003</v>
      </c>
      <c r="BJ63" s="98">
        <v>1374.2495100000001</v>
      </c>
      <c r="BK63" s="98">
        <v>0</v>
      </c>
      <c r="BL63" s="98">
        <v>0</v>
      </c>
      <c r="BM63" s="98">
        <v>0</v>
      </c>
      <c r="BN63" s="98">
        <v>0</v>
      </c>
      <c r="BO63" s="98">
        <v>0</v>
      </c>
      <c r="BP63" s="98">
        <v>0</v>
      </c>
      <c r="BQ63" s="98">
        <v>0</v>
      </c>
      <c r="BR63" s="98">
        <v>0</v>
      </c>
      <c r="BS63" s="98">
        <v>0</v>
      </c>
      <c r="BT63" s="98">
        <v>0</v>
      </c>
      <c r="BU63" s="98">
        <v>0</v>
      </c>
      <c r="BV63" s="98">
        <v>0</v>
      </c>
      <c r="BW63" s="82">
        <v>223.53860499999999</v>
      </c>
      <c r="BX63" s="100"/>
    </row>
    <row r="64" spans="1:76">
      <c r="A64" s="101" t="s">
        <v>877</v>
      </c>
      <c r="B64" s="98">
        <v>0</v>
      </c>
      <c r="C64" s="98">
        <v>0</v>
      </c>
      <c r="D64" s="98">
        <v>0</v>
      </c>
      <c r="E64" s="98">
        <v>0</v>
      </c>
      <c r="F64" s="98">
        <v>0</v>
      </c>
      <c r="G64" s="98">
        <v>0</v>
      </c>
      <c r="H64" s="98">
        <v>0</v>
      </c>
      <c r="I64" s="98">
        <v>0</v>
      </c>
      <c r="J64" s="98">
        <v>0</v>
      </c>
      <c r="K64" s="98">
        <v>0</v>
      </c>
      <c r="L64" s="98">
        <v>0</v>
      </c>
      <c r="M64" s="98">
        <v>0</v>
      </c>
      <c r="N64" s="98">
        <v>0</v>
      </c>
      <c r="O64" s="98">
        <v>0</v>
      </c>
      <c r="P64" s="98">
        <v>0</v>
      </c>
      <c r="Q64" s="98">
        <v>0</v>
      </c>
      <c r="R64" s="98">
        <v>0</v>
      </c>
      <c r="S64" s="98">
        <v>0</v>
      </c>
      <c r="T64" s="98">
        <v>0</v>
      </c>
      <c r="U64" s="98">
        <v>0</v>
      </c>
      <c r="V64" s="98">
        <v>0</v>
      </c>
      <c r="W64" s="98">
        <v>0</v>
      </c>
      <c r="X64" s="98">
        <v>0</v>
      </c>
      <c r="Y64" s="98">
        <v>0</v>
      </c>
      <c r="Z64" s="98">
        <v>0</v>
      </c>
      <c r="AA64" s="98">
        <v>0</v>
      </c>
      <c r="AB64" s="98">
        <v>0</v>
      </c>
      <c r="AC64" s="98">
        <v>0</v>
      </c>
      <c r="AD64" s="98">
        <v>0</v>
      </c>
      <c r="AE64" s="98">
        <v>0</v>
      </c>
      <c r="AF64" s="98">
        <v>0</v>
      </c>
      <c r="AG64" s="98">
        <v>0</v>
      </c>
      <c r="AH64" s="98">
        <v>0</v>
      </c>
      <c r="AI64" s="98">
        <v>0</v>
      </c>
      <c r="AJ64" s="98">
        <v>0</v>
      </c>
      <c r="AK64" s="98">
        <v>0</v>
      </c>
      <c r="AL64" s="98">
        <v>0</v>
      </c>
      <c r="AM64" s="98">
        <v>0</v>
      </c>
      <c r="AN64" s="98">
        <v>0</v>
      </c>
      <c r="AO64" s="98">
        <v>0</v>
      </c>
      <c r="AP64" s="98">
        <v>0</v>
      </c>
      <c r="AQ64" s="98">
        <v>0</v>
      </c>
      <c r="AR64" s="98">
        <v>0</v>
      </c>
      <c r="AS64" s="98">
        <v>0</v>
      </c>
      <c r="AT64" s="98">
        <v>0</v>
      </c>
      <c r="AU64" s="98">
        <v>0</v>
      </c>
      <c r="AV64" s="98">
        <v>0</v>
      </c>
      <c r="AW64" s="98">
        <v>0</v>
      </c>
      <c r="AX64" s="98">
        <v>0</v>
      </c>
      <c r="AY64" s="98">
        <v>0</v>
      </c>
      <c r="AZ64" s="98">
        <v>0</v>
      </c>
      <c r="BA64" s="98">
        <v>0</v>
      </c>
      <c r="BB64" s="98">
        <v>0</v>
      </c>
      <c r="BC64" s="98">
        <v>0</v>
      </c>
      <c r="BD64" s="98">
        <v>0</v>
      </c>
      <c r="BE64" s="98">
        <v>0</v>
      </c>
      <c r="BF64" s="98">
        <v>0</v>
      </c>
      <c r="BG64" s="98">
        <v>0</v>
      </c>
      <c r="BH64" s="98">
        <v>0</v>
      </c>
      <c r="BI64" s="98">
        <v>0</v>
      </c>
      <c r="BJ64" s="98">
        <v>0</v>
      </c>
      <c r="BK64" s="98">
        <v>0</v>
      </c>
      <c r="BL64" s="98">
        <v>0</v>
      </c>
      <c r="BM64" s="98">
        <v>0</v>
      </c>
      <c r="BN64" s="98">
        <v>0</v>
      </c>
      <c r="BO64" s="98">
        <v>19.077220847</v>
      </c>
      <c r="BP64" s="98">
        <v>9860.4783360580004</v>
      </c>
      <c r="BQ64" s="98">
        <v>5638.2866156299997</v>
      </c>
      <c r="BR64" s="98">
        <v>260.63765604000002</v>
      </c>
      <c r="BS64" s="98">
        <v>-4220.171312429</v>
      </c>
      <c r="BT64" s="98">
        <v>0</v>
      </c>
      <c r="BU64" s="98">
        <v>0</v>
      </c>
      <c r="BV64" s="98">
        <v>0</v>
      </c>
      <c r="BW64" s="82">
        <v>0</v>
      </c>
      <c r="BX64" s="100"/>
    </row>
    <row r="65" spans="1:76">
      <c r="A65" s="101" t="s">
        <v>878</v>
      </c>
      <c r="B65" s="98">
        <v>0</v>
      </c>
      <c r="C65" s="98">
        <v>0</v>
      </c>
      <c r="D65" s="98">
        <v>0</v>
      </c>
      <c r="E65" s="98">
        <v>0</v>
      </c>
      <c r="F65" s="98">
        <v>0</v>
      </c>
      <c r="G65" s="98">
        <v>0</v>
      </c>
      <c r="H65" s="98">
        <v>0</v>
      </c>
      <c r="I65" s="98">
        <v>0</v>
      </c>
      <c r="J65" s="98">
        <v>0</v>
      </c>
      <c r="K65" s="98">
        <v>0</v>
      </c>
      <c r="L65" s="98">
        <v>0</v>
      </c>
      <c r="M65" s="98">
        <v>0</v>
      </c>
      <c r="N65" s="98">
        <v>0</v>
      </c>
      <c r="O65" s="98">
        <v>0</v>
      </c>
      <c r="P65" s="98">
        <v>0</v>
      </c>
      <c r="Q65" s="98">
        <v>0</v>
      </c>
      <c r="R65" s="98">
        <v>0</v>
      </c>
      <c r="S65" s="98">
        <v>0</v>
      </c>
      <c r="T65" s="98">
        <v>0</v>
      </c>
      <c r="U65" s="98">
        <v>0</v>
      </c>
      <c r="V65" s="98">
        <v>0</v>
      </c>
      <c r="W65" s="98">
        <v>0</v>
      </c>
      <c r="X65" s="98">
        <v>0</v>
      </c>
      <c r="Y65" s="98">
        <v>0</v>
      </c>
      <c r="Z65" s="98">
        <v>0</v>
      </c>
      <c r="AA65" s="98">
        <v>0</v>
      </c>
      <c r="AB65" s="98">
        <v>0</v>
      </c>
      <c r="AC65" s="98">
        <v>0</v>
      </c>
      <c r="AD65" s="98">
        <v>0</v>
      </c>
      <c r="AE65" s="98">
        <v>0</v>
      </c>
      <c r="AF65" s="98">
        <v>0</v>
      </c>
      <c r="AG65" s="98">
        <v>0</v>
      </c>
      <c r="AH65" s="98">
        <v>0</v>
      </c>
      <c r="AI65" s="98">
        <v>0</v>
      </c>
      <c r="AJ65" s="98">
        <v>0</v>
      </c>
      <c r="AK65" s="98">
        <v>0</v>
      </c>
      <c r="AL65" s="98">
        <v>0</v>
      </c>
      <c r="AM65" s="98">
        <v>0</v>
      </c>
      <c r="AN65" s="98">
        <v>0</v>
      </c>
      <c r="AO65" s="98">
        <v>0</v>
      </c>
      <c r="AP65" s="98">
        <v>0</v>
      </c>
      <c r="AQ65" s="98">
        <v>0</v>
      </c>
      <c r="AR65" s="98">
        <v>0</v>
      </c>
      <c r="AS65" s="98">
        <v>0</v>
      </c>
      <c r="AT65" s="98">
        <v>0</v>
      </c>
      <c r="AU65" s="98">
        <v>0</v>
      </c>
      <c r="AV65" s="98">
        <v>0</v>
      </c>
      <c r="AW65" s="98">
        <v>0</v>
      </c>
      <c r="AX65" s="98">
        <v>0</v>
      </c>
      <c r="AY65" s="98">
        <v>0</v>
      </c>
      <c r="AZ65" s="98">
        <v>0</v>
      </c>
      <c r="BA65" s="98">
        <v>0</v>
      </c>
      <c r="BB65" s="98">
        <v>0</v>
      </c>
      <c r="BC65" s="98">
        <v>0</v>
      </c>
      <c r="BD65" s="98">
        <v>0</v>
      </c>
      <c r="BE65" s="98">
        <v>0</v>
      </c>
      <c r="BF65" s="98">
        <v>0</v>
      </c>
      <c r="BG65" s="98">
        <v>0</v>
      </c>
      <c r="BH65" s="98">
        <v>0</v>
      </c>
      <c r="BI65" s="98">
        <v>0</v>
      </c>
      <c r="BJ65" s="98">
        <v>0</v>
      </c>
      <c r="BK65" s="98">
        <v>25457.1895</v>
      </c>
      <c r="BL65" s="98">
        <v>0</v>
      </c>
      <c r="BM65" s="98">
        <v>0</v>
      </c>
      <c r="BN65" s="98">
        <v>0</v>
      </c>
      <c r="BO65" s="98">
        <v>0</v>
      </c>
      <c r="BP65" s="98">
        <v>0</v>
      </c>
      <c r="BQ65" s="98">
        <v>0</v>
      </c>
      <c r="BR65" s="98">
        <v>0</v>
      </c>
      <c r="BS65" s="98">
        <v>0</v>
      </c>
      <c r="BT65" s="98">
        <v>0</v>
      </c>
      <c r="BU65" s="98">
        <v>0</v>
      </c>
      <c r="BV65" s="98">
        <v>15290.1963</v>
      </c>
      <c r="BW65" s="82">
        <v>0</v>
      </c>
      <c r="BX65" s="100"/>
    </row>
    <row r="66" spans="1:76">
      <c r="A66" s="101" t="s">
        <v>879</v>
      </c>
      <c r="B66" s="98">
        <v>0</v>
      </c>
      <c r="C66" s="98">
        <v>0</v>
      </c>
      <c r="D66" s="98">
        <v>0</v>
      </c>
      <c r="E66" s="98">
        <v>0</v>
      </c>
      <c r="F66" s="98">
        <v>0</v>
      </c>
      <c r="G66" s="98">
        <v>0</v>
      </c>
      <c r="H66" s="98">
        <v>0</v>
      </c>
      <c r="I66" s="98">
        <v>0</v>
      </c>
      <c r="J66" s="98">
        <v>0</v>
      </c>
      <c r="K66" s="98">
        <v>0</v>
      </c>
      <c r="L66" s="98">
        <v>0</v>
      </c>
      <c r="M66" s="98">
        <v>0</v>
      </c>
      <c r="N66" s="98">
        <v>0</v>
      </c>
      <c r="O66" s="98">
        <v>0</v>
      </c>
      <c r="P66" s="98">
        <v>0</v>
      </c>
      <c r="Q66" s="98">
        <v>0</v>
      </c>
      <c r="R66" s="98">
        <v>0</v>
      </c>
      <c r="S66" s="98">
        <v>0</v>
      </c>
      <c r="T66" s="98">
        <v>0</v>
      </c>
      <c r="U66" s="98">
        <v>0</v>
      </c>
      <c r="V66" s="98">
        <v>0</v>
      </c>
      <c r="W66" s="98">
        <v>0</v>
      </c>
      <c r="X66" s="98">
        <v>0</v>
      </c>
      <c r="Y66" s="98">
        <v>0</v>
      </c>
      <c r="Z66" s="98">
        <v>0</v>
      </c>
      <c r="AA66" s="98">
        <v>0</v>
      </c>
      <c r="AB66" s="98">
        <v>0</v>
      </c>
      <c r="AC66" s="98">
        <v>0</v>
      </c>
      <c r="AD66" s="98">
        <v>0</v>
      </c>
      <c r="AE66" s="98">
        <v>0</v>
      </c>
      <c r="AF66" s="98">
        <v>0</v>
      </c>
      <c r="AG66" s="98">
        <v>0</v>
      </c>
      <c r="AH66" s="98">
        <v>0</v>
      </c>
      <c r="AI66" s="98">
        <v>0</v>
      </c>
      <c r="AJ66" s="98">
        <v>0</v>
      </c>
      <c r="AK66" s="98">
        <v>0</v>
      </c>
      <c r="AL66" s="98">
        <v>0</v>
      </c>
      <c r="AM66" s="98">
        <v>0</v>
      </c>
      <c r="AN66" s="98">
        <v>0</v>
      </c>
      <c r="AO66" s="98">
        <v>0</v>
      </c>
      <c r="AP66" s="98">
        <v>0</v>
      </c>
      <c r="AQ66" s="98">
        <v>0</v>
      </c>
      <c r="AR66" s="98">
        <v>0</v>
      </c>
      <c r="AS66" s="98">
        <v>0</v>
      </c>
      <c r="AT66" s="98">
        <v>0</v>
      </c>
      <c r="AU66" s="98">
        <v>0</v>
      </c>
      <c r="AV66" s="98">
        <v>0</v>
      </c>
      <c r="AW66" s="98">
        <v>0</v>
      </c>
      <c r="AX66" s="98">
        <v>0</v>
      </c>
      <c r="AY66" s="98">
        <v>0</v>
      </c>
      <c r="AZ66" s="98">
        <v>0</v>
      </c>
      <c r="BA66" s="98">
        <v>0</v>
      </c>
      <c r="BB66" s="98">
        <v>0</v>
      </c>
      <c r="BC66" s="98">
        <v>0</v>
      </c>
      <c r="BD66" s="98">
        <v>0</v>
      </c>
      <c r="BE66" s="98">
        <v>0</v>
      </c>
      <c r="BF66" s="98">
        <v>0</v>
      </c>
      <c r="BG66" s="98">
        <v>0</v>
      </c>
      <c r="BH66" s="98">
        <v>0</v>
      </c>
      <c r="BI66" s="98">
        <v>0</v>
      </c>
      <c r="BJ66" s="98">
        <v>0</v>
      </c>
      <c r="BK66" s="98">
        <v>0</v>
      </c>
      <c r="BL66" s="98">
        <v>0</v>
      </c>
      <c r="BM66" s="98">
        <v>0</v>
      </c>
      <c r="BN66" s="98">
        <v>0</v>
      </c>
      <c r="BO66" s="98">
        <v>0</v>
      </c>
      <c r="BP66" s="98">
        <v>0</v>
      </c>
      <c r="BQ66" s="98">
        <v>0</v>
      </c>
      <c r="BR66" s="98">
        <v>0</v>
      </c>
      <c r="BS66" s="98">
        <v>0</v>
      </c>
      <c r="BT66" s="98">
        <v>0</v>
      </c>
      <c r="BU66" s="98">
        <v>0</v>
      </c>
      <c r="BV66" s="98">
        <v>0</v>
      </c>
      <c r="BW66" s="82">
        <v>0</v>
      </c>
      <c r="BX66" s="100"/>
    </row>
    <row r="67" spans="1:76">
      <c r="A67" s="101" t="s">
        <v>880</v>
      </c>
      <c r="B67" s="98">
        <v>-1.5477000000000001E-5</v>
      </c>
      <c r="C67" s="98">
        <v>0</v>
      </c>
      <c r="D67" s="98">
        <v>-5.9999999999999995E-8</v>
      </c>
      <c r="E67" s="98">
        <v>-7.2400000000000001E-6</v>
      </c>
      <c r="F67" s="98">
        <v>-5.0999999999999999E-7</v>
      </c>
      <c r="G67" s="98">
        <v>1.4999999999999999E-8</v>
      </c>
      <c r="H67" s="98">
        <v>-6.5E-8</v>
      </c>
      <c r="I67" s="98">
        <v>-1.7249999999999999E-5</v>
      </c>
      <c r="J67" s="98">
        <v>-9.35299E-4</v>
      </c>
      <c r="K67" s="98">
        <v>-9.2544429999999994E-3</v>
      </c>
      <c r="L67" s="98">
        <v>-2.1777400000000001E-4</v>
      </c>
      <c r="M67" s="98">
        <v>5.8999999999999999E-8</v>
      </c>
      <c r="N67" s="98">
        <v>2.8055000000000002E-5</v>
      </c>
      <c r="O67" s="98">
        <v>-5.4255750000000002E-3</v>
      </c>
      <c r="P67" s="98">
        <v>2.446E-6</v>
      </c>
      <c r="Q67" s="98">
        <v>-5.5300000000000004E-7</v>
      </c>
      <c r="R67" s="98">
        <v>4.3000000000000003E-6</v>
      </c>
      <c r="S67" s="98">
        <v>-9.1637732999999999E-2</v>
      </c>
      <c r="T67" s="98">
        <v>3.7614316000000002E-2</v>
      </c>
      <c r="U67" s="98">
        <v>8.8645730000000006E-3</v>
      </c>
      <c r="V67" s="98">
        <v>-9.9201499999999995E-4</v>
      </c>
      <c r="W67" s="98">
        <v>9.3457399999999997E-4</v>
      </c>
      <c r="X67" s="98">
        <v>4.2306614999999999E-2</v>
      </c>
      <c r="Y67" s="98">
        <v>1.7481750000000001E-2</v>
      </c>
      <c r="Z67" s="98">
        <v>-0.19639202</v>
      </c>
      <c r="AA67" s="98">
        <v>5.9969034999999997E-2</v>
      </c>
      <c r="AB67" s="98">
        <v>0.17406374399999999</v>
      </c>
      <c r="AC67" s="98">
        <v>-2.5753249999999998E-2</v>
      </c>
      <c r="AD67" s="98">
        <v>1.8727338999999999E-2</v>
      </c>
      <c r="AE67" s="98">
        <v>-1.7622596000000001E-2</v>
      </c>
      <c r="AF67" s="98">
        <v>2.1371711000000002E-2</v>
      </c>
      <c r="AG67" s="98">
        <v>4.2E-7</v>
      </c>
      <c r="AH67" s="98">
        <v>-8.5287340490000005</v>
      </c>
      <c r="AI67" s="98">
        <v>-1.093202687</v>
      </c>
      <c r="AJ67" s="98">
        <v>0.13231111500000001</v>
      </c>
      <c r="AK67" s="98">
        <v>-6.2520857999999999E-2</v>
      </c>
      <c r="AL67" s="98">
        <v>-6.5856418999999999E-2</v>
      </c>
      <c r="AM67" s="98">
        <v>-7.1630956999999995E-2</v>
      </c>
      <c r="AN67" s="98">
        <v>-2.1201330000000002E-3</v>
      </c>
      <c r="AO67" s="98">
        <v>5.7536748999999998E-2</v>
      </c>
      <c r="AP67" s="98">
        <v>-0.14286534000000001</v>
      </c>
      <c r="AQ67" s="98">
        <v>-1.0456465E-2</v>
      </c>
      <c r="AR67" s="98">
        <v>118.447317825</v>
      </c>
      <c r="AS67" s="98">
        <v>6.8050000000000001E-6</v>
      </c>
      <c r="AT67" s="98">
        <v>-10.508928892</v>
      </c>
      <c r="AU67" s="98">
        <v>0.27142962999999998</v>
      </c>
      <c r="AV67" s="98">
        <v>-2.8880000000000003E-4</v>
      </c>
      <c r="AW67" s="98">
        <v>-6.9113355289999996</v>
      </c>
      <c r="AX67" s="98">
        <v>-2.7518281409999998</v>
      </c>
      <c r="AY67" s="98">
        <v>18.463498329</v>
      </c>
      <c r="AZ67" s="98">
        <v>0.26898017400000002</v>
      </c>
      <c r="BA67" s="98">
        <v>6.088065512</v>
      </c>
      <c r="BB67" s="98">
        <v>-1.7049644559999999</v>
      </c>
      <c r="BC67" s="98">
        <v>-3.2436827930000001</v>
      </c>
      <c r="BD67" s="98">
        <v>-39.397501198999997</v>
      </c>
      <c r="BE67" s="98">
        <v>-32.349051439999997</v>
      </c>
      <c r="BF67" s="98">
        <v>1.2479E-5</v>
      </c>
      <c r="BG67" s="98">
        <v>0</v>
      </c>
      <c r="BH67" s="98">
        <v>0</v>
      </c>
      <c r="BI67" s="98">
        <v>0</v>
      </c>
      <c r="BJ67" s="98">
        <v>0</v>
      </c>
      <c r="BK67" s="98">
        <v>-17.923843103999999</v>
      </c>
      <c r="BL67" s="98">
        <v>0</v>
      </c>
      <c r="BM67" s="98">
        <v>0</v>
      </c>
      <c r="BN67" s="98">
        <v>0</v>
      </c>
      <c r="BO67" s="98">
        <v>0</v>
      </c>
      <c r="BP67" s="98">
        <v>0</v>
      </c>
      <c r="BQ67" s="98">
        <v>0</v>
      </c>
      <c r="BR67" s="98">
        <v>0</v>
      </c>
      <c r="BS67" s="98">
        <v>0</v>
      </c>
      <c r="BT67" s="98">
        <v>0</v>
      </c>
      <c r="BU67" s="98">
        <v>0</v>
      </c>
      <c r="BV67" s="98">
        <v>0</v>
      </c>
      <c r="BW67" s="82">
        <v>0</v>
      </c>
      <c r="BX67" s="100"/>
    </row>
    <row r="68" spans="1:76">
      <c r="A68" s="101" t="s">
        <v>881</v>
      </c>
      <c r="B68" s="98">
        <v>8.9174804699999992</v>
      </c>
      <c r="C68" s="98">
        <v>1.44136E-3</v>
      </c>
      <c r="D68" s="98">
        <v>0.84017944300000003</v>
      </c>
      <c r="E68" s="98">
        <v>2.6958007799999999</v>
      </c>
      <c r="F68" s="98">
        <v>0.16387939500000001</v>
      </c>
      <c r="G68" s="98">
        <v>0.53137206999999997</v>
      </c>
      <c r="H68" s="98">
        <v>0.18131256100000001</v>
      </c>
      <c r="I68" s="98">
        <v>2.8208007799999999</v>
      </c>
      <c r="J68" s="98">
        <v>0.20860290500000001</v>
      </c>
      <c r="K68" s="98">
        <v>2.6599121100000001</v>
      </c>
      <c r="L68" s="98">
        <v>0.139297485</v>
      </c>
      <c r="M68" s="98">
        <v>5.1512720000000001E-3</v>
      </c>
      <c r="N68" s="98">
        <v>5.9693603499999996</v>
      </c>
      <c r="O68" s="98">
        <v>0.37011718799999999</v>
      </c>
      <c r="P68" s="98">
        <v>12.8204346</v>
      </c>
      <c r="Q68" s="98">
        <v>97.410156299999997</v>
      </c>
      <c r="R68" s="98">
        <v>82.429443399999997</v>
      </c>
      <c r="S68" s="98">
        <v>32.807434100000002</v>
      </c>
      <c r="T68" s="98">
        <v>6.1373290999999996</v>
      </c>
      <c r="U68" s="98">
        <v>40.512939500000002</v>
      </c>
      <c r="V68" s="98">
        <v>10.0174561</v>
      </c>
      <c r="W68" s="98">
        <v>3.9927978500000001</v>
      </c>
      <c r="X68" s="98">
        <v>20.001220700000001</v>
      </c>
      <c r="Y68" s="98">
        <v>64.822509800000006</v>
      </c>
      <c r="Z68" s="98">
        <v>73.114257800000004</v>
      </c>
      <c r="AA68" s="98">
        <v>1752.32104</v>
      </c>
      <c r="AB68" s="98">
        <v>140.30761699999999</v>
      </c>
      <c r="AC68" s="98">
        <v>32.876953100000001</v>
      </c>
      <c r="AD68" s="98">
        <v>75.881347700000006</v>
      </c>
      <c r="AE68" s="98">
        <v>58.639892600000003</v>
      </c>
      <c r="AF68" s="98">
        <v>60.595703100000001</v>
      </c>
      <c r="AG68" s="98">
        <v>1864.0664099999999</v>
      </c>
      <c r="AH68" s="98">
        <v>231.13378900000001</v>
      </c>
      <c r="AI68" s="98">
        <v>107.20752</v>
      </c>
      <c r="AJ68" s="98">
        <v>46.725830100000003</v>
      </c>
      <c r="AK68" s="98">
        <v>5.6035156300000004</v>
      </c>
      <c r="AL68" s="98">
        <v>26.713622999999998</v>
      </c>
      <c r="AM68" s="98">
        <v>458.53417999999999</v>
      </c>
      <c r="AN68" s="98">
        <v>7.5545654300000002</v>
      </c>
      <c r="AO68" s="98">
        <v>467.97265599999997</v>
      </c>
      <c r="AP68" s="98">
        <v>264.79394500000001</v>
      </c>
      <c r="AQ68" s="98">
        <v>100.644531</v>
      </c>
      <c r="AR68" s="98">
        <v>195.679688</v>
      </c>
      <c r="AS68" s="98">
        <v>41.912872299999997</v>
      </c>
      <c r="AT68" s="98">
        <v>12.934967</v>
      </c>
      <c r="AU68" s="98">
        <v>180.13085899999999</v>
      </c>
      <c r="AV68" s="98">
        <v>1196.1464800000001</v>
      </c>
      <c r="AW68" s="98">
        <v>41.948242200000003</v>
      </c>
      <c r="AX68" s="98">
        <v>6.1925048800000004</v>
      </c>
      <c r="AY68" s="98">
        <v>19.000976600000001</v>
      </c>
      <c r="AZ68" s="98">
        <v>10.537841800000001</v>
      </c>
      <c r="BA68" s="98">
        <v>677.96582000000001</v>
      </c>
      <c r="BB68" s="98">
        <v>142.85351600000001</v>
      </c>
      <c r="BC68" s="98">
        <v>467.67285199999998</v>
      </c>
      <c r="BD68" s="98">
        <v>414.89746100000002</v>
      </c>
      <c r="BE68" s="98">
        <v>-74.027343799999997</v>
      </c>
      <c r="BF68" s="98">
        <v>355.48779300000001</v>
      </c>
      <c r="BG68" s="98">
        <v>0</v>
      </c>
      <c r="BH68" s="98">
        <v>0</v>
      </c>
      <c r="BI68" s="98">
        <v>0</v>
      </c>
      <c r="BJ68" s="98">
        <v>0</v>
      </c>
      <c r="BK68" s="98">
        <v>0</v>
      </c>
      <c r="BL68" s="98">
        <v>0</v>
      </c>
      <c r="BM68" s="98">
        <v>0</v>
      </c>
      <c r="BN68" s="98">
        <v>0</v>
      </c>
      <c r="BO68" s="98">
        <v>0</v>
      </c>
      <c r="BP68" s="98">
        <v>0</v>
      </c>
      <c r="BQ68" s="98">
        <v>0</v>
      </c>
      <c r="BR68" s="98">
        <v>0</v>
      </c>
      <c r="BS68" s="98">
        <v>0</v>
      </c>
      <c r="BT68" s="98">
        <v>0</v>
      </c>
      <c r="BU68" s="98">
        <v>0</v>
      </c>
      <c r="BV68" s="98">
        <v>0</v>
      </c>
      <c r="BW68" s="82">
        <v>0</v>
      </c>
      <c r="BX68" s="100"/>
    </row>
    <row r="69" spans="1:76">
      <c r="A69" s="101" t="s">
        <v>882</v>
      </c>
      <c r="B69" s="98">
        <v>9.3419179999999994E-3</v>
      </c>
      <c r="C69" s="98">
        <v>27.709209384000001</v>
      </c>
      <c r="D69" s="98">
        <v>3.3840430220000002</v>
      </c>
      <c r="E69" s="98">
        <v>26.364592332000001</v>
      </c>
      <c r="F69" s="98">
        <v>63.652242688999998</v>
      </c>
      <c r="G69" s="98">
        <v>0</v>
      </c>
      <c r="H69" s="98">
        <v>26.204937137000002</v>
      </c>
      <c r="I69" s="98">
        <v>41.395336245000003</v>
      </c>
      <c r="J69" s="98">
        <v>2.957369323</v>
      </c>
      <c r="K69" s="98">
        <v>12.080091875000001</v>
      </c>
      <c r="L69" s="98">
        <v>0</v>
      </c>
      <c r="M69" s="98">
        <v>1.497971623</v>
      </c>
      <c r="N69" s="98">
        <v>1.5054456460000001</v>
      </c>
      <c r="O69" s="98">
        <v>12.947606651999999</v>
      </c>
      <c r="P69" s="98">
        <v>1.3410412599999999</v>
      </c>
      <c r="Q69" s="98">
        <v>0</v>
      </c>
      <c r="R69" s="98">
        <v>1.9000000000000001E-8</v>
      </c>
      <c r="S69" s="98">
        <v>9.0510745559999997</v>
      </c>
      <c r="T69" s="98">
        <v>8.0492907500000008</v>
      </c>
      <c r="U69" s="98">
        <v>19.062356640000001</v>
      </c>
      <c r="V69" s="98">
        <v>5.7532273810000003</v>
      </c>
      <c r="W69" s="98">
        <v>35.077667773000002</v>
      </c>
      <c r="X69" s="98">
        <v>0.128479434</v>
      </c>
      <c r="Y69" s="98">
        <v>3.5069566700000001</v>
      </c>
      <c r="Z69" s="98">
        <v>764.14644642500002</v>
      </c>
      <c r="AA69" s="98">
        <v>127.35267246799999</v>
      </c>
      <c r="AB69" s="98">
        <v>276.97272364700001</v>
      </c>
      <c r="AC69" s="98">
        <v>48.158714076999999</v>
      </c>
      <c r="AD69" s="98">
        <v>38.239849006999997</v>
      </c>
      <c r="AE69" s="98">
        <v>37.576311715999999</v>
      </c>
      <c r="AF69" s="98">
        <v>99.090072163000002</v>
      </c>
      <c r="AG69" s="98">
        <v>8.7361372819999996</v>
      </c>
      <c r="AH69" s="98">
        <v>801.72224439900003</v>
      </c>
      <c r="AI69" s="98">
        <v>138.09283429199999</v>
      </c>
      <c r="AJ69" s="98">
        <v>276.28343435699998</v>
      </c>
      <c r="AK69" s="98">
        <v>98.574774196999996</v>
      </c>
      <c r="AL69" s="98">
        <v>170.94524619800001</v>
      </c>
      <c r="AM69" s="98">
        <v>799.29249596900002</v>
      </c>
      <c r="AN69" s="98">
        <v>74.951426002999995</v>
      </c>
      <c r="AO69" s="98">
        <v>596.51143772900002</v>
      </c>
      <c r="AP69" s="98">
        <v>876.43793470699995</v>
      </c>
      <c r="AQ69" s="98">
        <v>103.52357866600001</v>
      </c>
      <c r="AR69" s="98">
        <v>0</v>
      </c>
      <c r="AS69" s="98">
        <v>0</v>
      </c>
      <c r="AT69" s="98">
        <v>0</v>
      </c>
      <c r="AU69" s="98">
        <v>0</v>
      </c>
      <c r="AV69" s="98">
        <v>0</v>
      </c>
      <c r="AW69" s="98">
        <v>0</v>
      </c>
      <c r="AX69" s="98">
        <v>0</v>
      </c>
      <c r="AY69" s="98">
        <v>0</v>
      </c>
      <c r="AZ69" s="98">
        <v>0</v>
      </c>
      <c r="BA69" s="98">
        <v>0</v>
      </c>
      <c r="BB69" s="98">
        <v>0</v>
      </c>
      <c r="BC69" s="98">
        <v>0</v>
      </c>
      <c r="BD69" s="98">
        <v>0</v>
      </c>
      <c r="BE69" s="98">
        <v>0</v>
      </c>
      <c r="BF69" s="98">
        <v>0</v>
      </c>
      <c r="BG69" s="98">
        <v>0</v>
      </c>
      <c r="BH69" s="98">
        <v>0</v>
      </c>
      <c r="BI69" s="98">
        <v>0</v>
      </c>
      <c r="BJ69" s="98">
        <v>0</v>
      </c>
      <c r="BK69" s="98">
        <v>0</v>
      </c>
      <c r="BL69" s="98">
        <v>0</v>
      </c>
      <c r="BM69" s="98">
        <v>0</v>
      </c>
      <c r="BN69" s="98">
        <v>0</v>
      </c>
      <c r="BO69" s="98">
        <v>0</v>
      </c>
      <c r="BP69" s="98">
        <v>0</v>
      </c>
      <c r="BQ69" s="98">
        <v>0</v>
      </c>
      <c r="BR69" s="98">
        <v>0</v>
      </c>
      <c r="BS69" s="98">
        <v>0</v>
      </c>
      <c r="BT69" s="98">
        <v>0</v>
      </c>
      <c r="BU69" s="98">
        <v>0</v>
      </c>
      <c r="BV69" s="98">
        <v>0</v>
      </c>
      <c r="BW69" s="82">
        <v>0</v>
      </c>
      <c r="BX69" s="100"/>
    </row>
    <row r="70" spans="1:76">
      <c r="A70" s="101" t="s">
        <v>883</v>
      </c>
      <c r="B70" s="98">
        <v>0</v>
      </c>
      <c r="C70" s="98">
        <v>0</v>
      </c>
      <c r="D70" s="98">
        <v>0</v>
      </c>
      <c r="E70" s="98">
        <v>0</v>
      </c>
      <c r="F70" s="98">
        <v>0</v>
      </c>
      <c r="G70" s="98">
        <v>0</v>
      </c>
      <c r="H70" s="98">
        <v>0</v>
      </c>
      <c r="I70" s="98">
        <v>0</v>
      </c>
      <c r="J70" s="98">
        <v>0</v>
      </c>
      <c r="K70" s="98">
        <v>0</v>
      </c>
      <c r="L70" s="98">
        <v>0</v>
      </c>
      <c r="M70" s="98">
        <v>0</v>
      </c>
      <c r="N70" s="98">
        <v>0</v>
      </c>
      <c r="O70" s="98">
        <v>0</v>
      </c>
      <c r="P70" s="98">
        <v>4.47942E-4</v>
      </c>
      <c r="Q70" s="98">
        <v>-0.172242072</v>
      </c>
      <c r="R70" s="98">
        <v>3.9969000000000003E-5</v>
      </c>
      <c r="S70" s="98">
        <v>-0.36290493099999999</v>
      </c>
      <c r="T70" s="98">
        <v>0</v>
      </c>
      <c r="U70" s="98">
        <v>0</v>
      </c>
      <c r="V70" s="98">
        <v>0</v>
      </c>
      <c r="W70" s="98">
        <v>0</v>
      </c>
      <c r="X70" s="98">
        <v>0</v>
      </c>
      <c r="Y70" s="98">
        <v>0</v>
      </c>
      <c r="Z70" s="98">
        <v>0</v>
      </c>
      <c r="AA70" s="98">
        <v>0</v>
      </c>
      <c r="AB70" s="98">
        <v>125.869980399</v>
      </c>
      <c r="AC70" s="98">
        <v>135.30485615800001</v>
      </c>
      <c r="AD70" s="98">
        <v>0</v>
      </c>
      <c r="AE70" s="98">
        <v>0</v>
      </c>
      <c r="AF70" s="98">
        <v>0</v>
      </c>
      <c r="AG70" s="98">
        <v>-7.3156000000000002E-5</v>
      </c>
      <c r="AH70" s="98">
        <v>0</v>
      </c>
      <c r="AI70" s="98">
        <v>0</v>
      </c>
      <c r="AJ70" s="98">
        <v>0</v>
      </c>
      <c r="AK70" s="98">
        <v>4.1875000000000001E-5</v>
      </c>
      <c r="AL70" s="98">
        <v>0</v>
      </c>
      <c r="AM70" s="98">
        <v>0</v>
      </c>
      <c r="AN70" s="98">
        <v>0</v>
      </c>
      <c r="AO70" s="98">
        <v>-1.7081469999999999E-3</v>
      </c>
      <c r="AP70" s="98">
        <v>-7.8199900000000002E-4</v>
      </c>
      <c r="AQ70" s="98">
        <v>0</v>
      </c>
      <c r="AR70" s="98">
        <v>0</v>
      </c>
      <c r="AS70" s="98">
        <v>0</v>
      </c>
      <c r="AT70" s="98">
        <v>0</v>
      </c>
      <c r="AU70" s="98">
        <v>0</v>
      </c>
      <c r="AV70" s="98">
        <v>0</v>
      </c>
      <c r="AW70" s="98">
        <v>0</v>
      </c>
      <c r="AX70" s="98">
        <v>0</v>
      </c>
      <c r="AY70" s="98">
        <v>0</v>
      </c>
      <c r="AZ70" s="98">
        <v>0</v>
      </c>
      <c r="BA70" s="98">
        <v>0</v>
      </c>
      <c r="BB70" s="98">
        <v>0</v>
      </c>
      <c r="BC70" s="98">
        <v>0</v>
      </c>
      <c r="BD70" s="98">
        <v>0</v>
      </c>
      <c r="BE70" s="98">
        <v>0</v>
      </c>
      <c r="BF70" s="98">
        <v>0</v>
      </c>
      <c r="BG70" s="98">
        <v>0</v>
      </c>
      <c r="BH70" s="98">
        <v>0</v>
      </c>
      <c r="BI70" s="98">
        <v>0</v>
      </c>
      <c r="BJ70" s="98">
        <v>0</v>
      </c>
      <c r="BK70" s="98">
        <v>0</v>
      </c>
      <c r="BL70" s="98">
        <v>0</v>
      </c>
      <c r="BM70" s="98">
        <v>0</v>
      </c>
      <c r="BN70" s="98">
        <v>0</v>
      </c>
      <c r="BO70" s="98">
        <v>0</v>
      </c>
      <c r="BP70" s="98">
        <v>0</v>
      </c>
      <c r="BQ70" s="98">
        <v>0</v>
      </c>
      <c r="BR70" s="98">
        <v>0</v>
      </c>
      <c r="BS70" s="98">
        <v>0</v>
      </c>
      <c r="BT70" s="98">
        <v>0</v>
      </c>
      <c r="BU70" s="98">
        <v>0</v>
      </c>
      <c r="BV70" s="98">
        <v>0</v>
      </c>
      <c r="BW70" s="82">
        <v>0</v>
      </c>
      <c r="BX70" s="100"/>
    </row>
    <row r="71" spans="1:76">
      <c r="A71" s="101" t="s">
        <v>884</v>
      </c>
      <c r="B71" s="98">
        <v>0</v>
      </c>
      <c r="C71" s="98">
        <v>0</v>
      </c>
      <c r="D71" s="98">
        <v>0</v>
      </c>
      <c r="E71" s="98">
        <v>0</v>
      </c>
      <c r="F71" s="98">
        <v>0</v>
      </c>
      <c r="G71" s="98">
        <v>0</v>
      </c>
      <c r="H71" s="98">
        <v>0</v>
      </c>
      <c r="I71" s="98">
        <v>0</v>
      </c>
      <c r="J71" s="98">
        <v>0</v>
      </c>
      <c r="K71" s="98">
        <v>0</v>
      </c>
      <c r="L71" s="98">
        <v>0</v>
      </c>
      <c r="M71" s="98">
        <v>0</v>
      </c>
      <c r="N71" s="98">
        <v>0</v>
      </c>
      <c r="O71" s="98">
        <v>0</v>
      </c>
      <c r="P71" s="98">
        <v>0</v>
      </c>
      <c r="Q71" s="98">
        <v>0</v>
      </c>
      <c r="R71" s="98">
        <v>0</v>
      </c>
      <c r="S71" s="98">
        <v>0</v>
      </c>
      <c r="T71" s="98">
        <v>0</v>
      </c>
      <c r="U71" s="98">
        <v>0</v>
      </c>
      <c r="V71" s="98">
        <v>0</v>
      </c>
      <c r="W71" s="98">
        <v>0</v>
      </c>
      <c r="X71" s="98">
        <v>0</v>
      </c>
      <c r="Y71" s="98">
        <v>0</v>
      </c>
      <c r="Z71" s="98">
        <v>0</v>
      </c>
      <c r="AA71" s="98">
        <v>0</v>
      </c>
      <c r="AB71" s="98">
        <v>0</v>
      </c>
      <c r="AC71" s="98">
        <v>0</v>
      </c>
      <c r="AD71" s="98">
        <v>0</v>
      </c>
      <c r="AE71" s="98">
        <v>0</v>
      </c>
      <c r="AF71" s="98">
        <v>0</v>
      </c>
      <c r="AG71" s="98">
        <v>0</v>
      </c>
      <c r="AH71" s="98">
        <v>0</v>
      </c>
      <c r="AI71" s="98">
        <v>0</v>
      </c>
      <c r="AJ71" s="98">
        <v>0</v>
      </c>
      <c r="AK71" s="98">
        <v>0</v>
      </c>
      <c r="AL71" s="98">
        <v>0</v>
      </c>
      <c r="AM71" s="98">
        <v>0</v>
      </c>
      <c r="AN71" s="98">
        <v>0</v>
      </c>
      <c r="AO71" s="98">
        <v>0</v>
      </c>
      <c r="AP71" s="98">
        <v>0</v>
      </c>
      <c r="AQ71" s="98">
        <v>0</v>
      </c>
      <c r="AR71" s="98">
        <v>0</v>
      </c>
      <c r="AS71" s="98">
        <v>0</v>
      </c>
      <c r="AT71" s="98">
        <v>0</v>
      </c>
      <c r="AU71" s="98">
        <v>0</v>
      </c>
      <c r="AV71" s="98">
        <v>0</v>
      </c>
      <c r="AW71" s="98">
        <v>0</v>
      </c>
      <c r="AX71" s="98">
        <v>0</v>
      </c>
      <c r="AY71" s="98">
        <v>0</v>
      </c>
      <c r="AZ71" s="98">
        <v>0</v>
      </c>
      <c r="BA71" s="98">
        <v>0</v>
      </c>
      <c r="BB71" s="98">
        <v>0</v>
      </c>
      <c r="BC71" s="98">
        <v>0</v>
      </c>
      <c r="BD71" s="98">
        <v>0</v>
      </c>
      <c r="BE71" s="98">
        <v>0</v>
      </c>
      <c r="BF71" s="98">
        <v>0</v>
      </c>
      <c r="BG71" s="98">
        <v>0</v>
      </c>
      <c r="BH71" s="98">
        <v>0</v>
      </c>
      <c r="BI71" s="98">
        <v>0</v>
      </c>
      <c r="BJ71" s="98">
        <v>0</v>
      </c>
      <c r="BK71" s="98">
        <v>-4220.171312429</v>
      </c>
      <c r="BL71" s="98">
        <v>0</v>
      </c>
      <c r="BM71" s="98">
        <v>0</v>
      </c>
      <c r="BN71" s="98">
        <v>0</v>
      </c>
      <c r="BO71" s="98">
        <v>0</v>
      </c>
      <c r="BP71" s="98">
        <v>0</v>
      </c>
      <c r="BQ71" s="98">
        <v>0</v>
      </c>
      <c r="BR71" s="98">
        <v>0</v>
      </c>
      <c r="BS71" s="98">
        <v>0</v>
      </c>
      <c r="BT71" s="98">
        <v>0</v>
      </c>
      <c r="BU71" s="98">
        <v>0</v>
      </c>
      <c r="BV71" s="98">
        <v>0</v>
      </c>
      <c r="BW71" s="82">
        <v>0</v>
      </c>
      <c r="BX71" s="100"/>
    </row>
    <row r="72" spans="1:76">
      <c r="A72" s="101" t="s">
        <v>994</v>
      </c>
      <c r="B72" s="98">
        <v>0.45940471500000002</v>
      </c>
      <c r="C72" s="98">
        <v>143.48749506199999</v>
      </c>
      <c r="D72" s="98">
        <v>8.3916692160000004</v>
      </c>
      <c r="E72" s="98">
        <v>75.886615071999998</v>
      </c>
      <c r="F72" s="98">
        <v>287.57418739899998</v>
      </c>
      <c r="G72" s="98">
        <v>0.208031621</v>
      </c>
      <c r="H72" s="98">
        <v>525.03901184899996</v>
      </c>
      <c r="I72" s="98">
        <v>131.439513734</v>
      </c>
      <c r="J72" s="98">
        <v>30.912707943000001</v>
      </c>
      <c r="K72" s="98">
        <v>263.06155209799999</v>
      </c>
      <c r="L72" s="98">
        <v>1.2810371199999999</v>
      </c>
      <c r="M72" s="98">
        <v>44.63011461</v>
      </c>
      <c r="N72" s="98">
        <v>112.995676367</v>
      </c>
      <c r="O72" s="98">
        <v>26.921607929</v>
      </c>
      <c r="P72" s="98">
        <v>135.539585372</v>
      </c>
      <c r="Q72" s="98">
        <v>4517.9065027360002</v>
      </c>
      <c r="R72" s="98">
        <v>8.6495099999999998E-4</v>
      </c>
      <c r="S72" s="98">
        <v>338.27032798300002</v>
      </c>
      <c r="T72" s="98">
        <v>17.702757035000001</v>
      </c>
      <c r="U72" s="98">
        <v>55.611317669999998</v>
      </c>
      <c r="V72" s="98">
        <v>35.618280402000003</v>
      </c>
      <c r="W72" s="98">
        <v>337.03248711800001</v>
      </c>
      <c r="X72" s="98">
        <v>3.0411994710000001</v>
      </c>
      <c r="Y72" s="98">
        <v>11.295921602</v>
      </c>
      <c r="Z72" s="98">
        <v>1775.902830236</v>
      </c>
      <c r="AA72" s="98">
        <v>226.364670563</v>
      </c>
      <c r="AB72" s="98">
        <v>1619.6681726930001</v>
      </c>
      <c r="AC72" s="98">
        <v>134.85230818799999</v>
      </c>
      <c r="AD72" s="98">
        <v>337.775629434</v>
      </c>
      <c r="AE72" s="98">
        <v>366.95506389100001</v>
      </c>
      <c r="AF72" s="98">
        <v>881.09649299099999</v>
      </c>
      <c r="AG72" s="98">
        <v>472.84586479199999</v>
      </c>
      <c r="AH72" s="98">
        <v>7036.566429775</v>
      </c>
      <c r="AI72" s="98">
        <v>931.55345612400004</v>
      </c>
      <c r="AJ72" s="98">
        <v>2748.5303957179999</v>
      </c>
      <c r="AK72" s="98">
        <v>2236.5203262929999</v>
      </c>
      <c r="AL72" s="98">
        <v>915.15715072</v>
      </c>
      <c r="AM72" s="98">
        <v>2193.1074206580001</v>
      </c>
      <c r="AN72" s="98">
        <v>1456.4212120770001</v>
      </c>
      <c r="AO72" s="98">
        <v>12820.720219016999</v>
      </c>
      <c r="AP72" s="98">
        <v>10716.749810841</v>
      </c>
      <c r="AQ72" s="98">
        <v>1657.902938169</v>
      </c>
      <c r="AR72" s="98">
        <v>40.361569312</v>
      </c>
      <c r="AS72" s="98">
        <v>5.323436E-3</v>
      </c>
      <c r="AT72" s="98">
        <v>10.97480734</v>
      </c>
      <c r="AU72" s="98">
        <v>141.10685176300001</v>
      </c>
      <c r="AV72" s="98">
        <v>1640.8872947479999</v>
      </c>
      <c r="AW72" s="98">
        <v>861.02835712700005</v>
      </c>
      <c r="AX72" s="98">
        <v>205.76331807099999</v>
      </c>
      <c r="AY72" s="98">
        <v>624.62178382699994</v>
      </c>
      <c r="AZ72" s="98">
        <v>198.252439076</v>
      </c>
      <c r="BA72" s="98">
        <v>85.821764580000007</v>
      </c>
      <c r="BB72" s="98">
        <v>694.05203513699996</v>
      </c>
      <c r="BC72" s="98">
        <v>2334.610483591</v>
      </c>
      <c r="BD72" s="98">
        <v>470.74017349000002</v>
      </c>
      <c r="BE72" s="98">
        <v>552.00276235700005</v>
      </c>
      <c r="BF72" s="98">
        <v>0</v>
      </c>
      <c r="BG72" s="98">
        <v>0</v>
      </c>
      <c r="BH72" s="98">
        <v>0</v>
      </c>
      <c r="BI72" s="98">
        <v>0</v>
      </c>
      <c r="BJ72" s="98">
        <v>0</v>
      </c>
      <c r="BK72" s="98">
        <v>0</v>
      </c>
      <c r="BL72" s="98">
        <v>0</v>
      </c>
      <c r="BM72" s="98">
        <v>0</v>
      </c>
      <c r="BN72" s="98">
        <v>0</v>
      </c>
      <c r="BO72" s="98">
        <v>0</v>
      </c>
      <c r="BP72" s="98">
        <v>0</v>
      </c>
      <c r="BQ72" s="98">
        <v>0</v>
      </c>
      <c r="BR72" s="98">
        <v>0</v>
      </c>
      <c r="BS72" s="98">
        <v>0</v>
      </c>
      <c r="BT72" s="98">
        <v>0</v>
      </c>
      <c r="BU72" s="98">
        <v>80187.050925485004</v>
      </c>
      <c r="BV72" s="98">
        <v>0</v>
      </c>
      <c r="BW72" s="82">
        <v>0</v>
      </c>
      <c r="BX72" s="100"/>
    </row>
    <row r="73" spans="1:76">
      <c r="A73" s="101" t="s">
        <v>885</v>
      </c>
      <c r="B73" s="98">
        <v>0</v>
      </c>
      <c r="C73" s="98">
        <v>0</v>
      </c>
      <c r="D73" s="98">
        <v>0</v>
      </c>
      <c r="E73" s="98">
        <v>0</v>
      </c>
      <c r="F73" s="98">
        <v>0</v>
      </c>
      <c r="G73" s="98">
        <v>0</v>
      </c>
      <c r="H73" s="98">
        <v>0</v>
      </c>
      <c r="I73" s="98">
        <v>0</v>
      </c>
      <c r="J73" s="98">
        <v>0</v>
      </c>
      <c r="K73" s="98">
        <v>0</v>
      </c>
      <c r="L73" s="98">
        <v>0</v>
      </c>
      <c r="M73" s="98">
        <v>0</v>
      </c>
      <c r="N73" s="98">
        <v>0</v>
      </c>
      <c r="O73" s="98">
        <v>0</v>
      </c>
      <c r="P73" s="98">
        <v>0</v>
      </c>
      <c r="Q73" s="98">
        <v>0</v>
      </c>
      <c r="R73" s="98">
        <v>0</v>
      </c>
      <c r="S73" s="98">
        <v>0</v>
      </c>
      <c r="T73" s="98">
        <v>0</v>
      </c>
      <c r="U73" s="98">
        <v>0</v>
      </c>
      <c r="V73" s="98">
        <v>0</v>
      </c>
      <c r="W73" s="98">
        <v>0</v>
      </c>
      <c r="X73" s="98">
        <v>0</v>
      </c>
      <c r="Y73" s="98">
        <v>0</v>
      </c>
      <c r="Z73" s="98">
        <v>0</v>
      </c>
      <c r="AA73" s="98">
        <v>0</v>
      </c>
      <c r="AB73" s="98">
        <v>0</v>
      </c>
      <c r="AC73" s="98">
        <v>0</v>
      </c>
      <c r="AD73" s="98">
        <v>0</v>
      </c>
      <c r="AE73" s="98">
        <v>0</v>
      </c>
      <c r="AF73" s="98">
        <v>0</v>
      </c>
      <c r="AG73" s="98">
        <v>0</v>
      </c>
      <c r="AH73" s="98">
        <v>0</v>
      </c>
      <c r="AI73" s="98">
        <v>0</v>
      </c>
      <c r="AJ73" s="98">
        <v>0</v>
      </c>
      <c r="AK73" s="98">
        <v>0</v>
      </c>
      <c r="AL73" s="98">
        <v>0</v>
      </c>
      <c r="AM73" s="98">
        <v>0</v>
      </c>
      <c r="AN73" s="98">
        <v>0</v>
      </c>
      <c r="AO73" s="98">
        <v>0</v>
      </c>
      <c r="AP73" s="98">
        <v>0</v>
      </c>
      <c r="AQ73" s="98">
        <v>0</v>
      </c>
      <c r="AR73" s="98">
        <v>0</v>
      </c>
      <c r="AS73" s="98">
        <v>0</v>
      </c>
      <c r="AT73" s="98">
        <v>0</v>
      </c>
      <c r="AU73" s="98">
        <v>0</v>
      </c>
      <c r="AV73" s="98">
        <v>0</v>
      </c>
      <c r="AW73" s="98">
        <v>0</v>
      </c>
      <c r="AX73" s="98">
        <v>0</v>
      </c>
      <c r="AY73" s="98">
        <v>0</v>
      </c>
      <c r="AZ73" s="98">
        <v>0</v>
      </c>
      <c r="BA73" s="98">
        <v>0</v>
      </c>
      <c r="BB73" s="98">
        <v>0</v>
      </c>
      <c r="BC73" s="98">
        <v>0</v>
      </c>
      <c r="BD73" s="98">
        <v>0</v>
      </c>
      <c r="BE73" s="98">
        <v>0</v>
      </c>
      <c r="BF73" s="98">
        <v>0</v>
      </c>
      <c r="BG73" s="98">
        <v>0</v>
      </c>
      <c r="BH73" s="98">
        <v>0</v>
      </c>
      <c r="BI73" s="98">
        <v>0</v>
      </c>
      <c r="BJ73" s="98">
        <v>0</v>
      </c>
      <c r="BK73" s="98">
        <v>0</v>
      </c>
      <c r="BL73" s="98">
        <v>0</v>
      </c>
      <c r="BM73" s="98">
        <v>17672.162479999999</v>
      </c>
      <c r="BN73" s="98">
        <v>0</v>
      </c>
      <c r="BO73" s="98">
        <v>0</v>
      </c>
      <c r="BP73" s="98">
        <v>0</v>
      </c>
      <c r="BQ73" s="98">
        <v>0</v>
      </c>
      <c r="BR73" s="98">
        <v>0</v>
      </c>
      <c r="BS73" s="98">
        <v>0</v>
      </c>
      <c r="BT73" s="98">
        <v>63493.227225110997</v>
      </c>
      <c r="BU73" s="98">
        <v>0</v>
      </c>
      <c r="BV73" s="98">
        <v>0</v>
      </c>
      <c r="BW73" s="82">
        <v>0</v>
      </c>
      <c r="BX73" s="100"/>
    </row>
    <row r="74" spans="1:76">
      <c r="A74" s="101" t="s">
        <v>995</v>
      </c>
      <c r="B74" s="98">
        <v>0</v>
      </c>
      <c r="C74" s="98">
        <v>0</v>
      </c>
      <c r="D74" s="98">
        <v>0</v>
      </c>
      <c r="E74" s="98">
        <v>0</v>
      </c>
      <c r="F74" s="98">
        <v>0</v>
      </c>
      <c r="G74" s="98">
        <v>0</v>
      </c>
      <c r="H74" s="98">
        <v>0</v>
      </c>
      <c r="I74" s="98">
        <v>0</v>
      </c>
      <c r="J74" s="98">
        <v>0</v>
      </c>
      <c r="K74" s="98">
        <v>0</v>
      </c>
      <c r="L74" s="98">
        <v>0</v>
      </c>
      <c r="M74" s="98">
        <v>0</v>
      </c>
      <c r="N74" s="98">
        <v>0</v>
      </c>
      <c r="O74" s="98">
        <v>0</v>
      </c>
      <c r="P74" s="98">
        <v>0</v>
      </c>
      <c r="Q74" s="98">
        <v>0</v>
      </c>
      <c r="R74" s="98">
        <v>0</v>
      </c>
      <c r="S74" s="98">
        <v>0</v>
      </c>
      <c r="T74" s="98">
        <v>0</v>
      </c>
      <c r="U74" s="98">
        <v>0</v>
      </c>
      <c r="V74" s="98">
        <v>0</v>
      </c>
      <c r="W74" s="98">
        <v>0</v>
      </c>
      <c r="X74" s="98">
        <v>0</v>
      </c>
      <c r="Y74" s="98">
        <v>0</v>
      </c>
      <c r="Z74" s="98">
        <v>0</v>
      </c>
      <c r="AA74" s="98">
        <v>0</v>
      </c>
      <c r="AB74" s="98">
        <v>0</v>
      </c>
      <c r="AC74" s="98">
        <v>0</v>
      </c>
      <c r="AD74" s="98">
        <v>0</v>
      </c>
      <c r="AE74" s="98">
        <v>0</v>
      </c>
      <c r="AF74" s="98">
        <v>0</v>
      </c>
      <c r="AG74" s="98">
        <v>0</v>
      </c>
      <c r="AH74" s="98">
        <v>0</v>
      </c>
      <c r="AI74" s="98">
        <v>0</v>
      </c>
      <c r="AJ74" s="98">
        <v>0</v>
      </c>
      <c r="AK74" s="98">
        <v>0</v>
      </c>
      <c r="AL74" s="98">
        <v>0</v>
      </c>
      <c r="AM74" s="98">
        <v>0</v>
      </c>
      <c r="AN74" s="98">
        <v>0</v>
      </c>
      <c r="AO74" s="98">
        <v>0</v>
      </c>
      <c r="AP74" s="98">
        <v>0</v>
      </c>
      <c r="AQ74" s="98">
        <v>0</v>
      </c>
      <c r="AR74" s="98">
        <v>0</v>
      </c>
      <c r="AS74" s="98">
        <v>0</v>
      </c>
      <c r="AT74" s="98">
        <v>0</v>
      </c>
      <c r="AU74" s="98">
        <v>0</v>
      </c>
      <c r="AV74" s="98">
        <v>0</v>
      </c>
      <c r="AW74" s="98">
        <v>0</v>
      </c>
      <c r="AX74" s="98">
        <v>0</v>
      </c>
      <c r="AY74" s="98">
        <v>0</v>
      </c>
      <c r="AZ74" s="98">
        <v>0</v>
      </c>
      <c r="BA74" s="98">
        <v>0</v>
      </c>
      <c r="BB74" s="98">
        <v>0</v>
      </c>
      <c r="BC74" s="98">
        <v>0</v>
      </c>
      <c r="BD74" s="98">
        <v>0</v>
      </c>
      <c r="BE74" s="98">
        <v>0</v>
      </c>
      <c r="BF74" s="98">
        <v>0</v>
      </c>
      <c r="BG74" s="98">
        <v>0</v>
      </c>
      <c r="BH74" s="98">
        <v>0</v>
      </c>
      <c r="BI74" s="98">
        <v>0</v>
      </c>
      <c r="BJ74" s="98">
        <v>0</v>
      </c>
      <c r="BK74" s="98">
        <v>15290.1963</v>
      </c>
      <c r="BL74" s="98">
        <v>0</v>
      </c>
      <c r="BM74" s="98">
        <v>0</v>
      </c>
      <c r="BN74" s="98">
        <v>0</v>
      </c>
      <c r="BO74" s="98">
        <v>0</v>
      </c>
      <c r="BP74" s="98">
        <v>0</v>
      </c>
      <c r="BQ74" s="98">
        <v>0</v>
      </c>
      <c r="BR74" s="98">
        <v>0</v>
      </c>
      <c r="BS74" s="98">
        <v>0</v>
      </c>
      <c r="BT74" s="98">
        <v>0</v>
      </c>
      <c r="BU74" s="98">
        <v>0</v>
      </c>
      <c r="BV74" s="98">
        <v>0</v>
      </c>
      <c r="BW74" s="82">
        <v>0</v>
      </c>
      <c r="BX74" s="100"/>
    </row>
    <row r="75" spans="1:76">
      <c r="A75" s="101" t="s">
        <v>996</v>
      </c>
      <c r="B75" s="82">
        <v>0</v>
      </c>
      <c r="C75" s="82">
        <v>0</v>
      </c>
      <c r="D75" s="82">
        <v>0</v>
      </c>
      <c r="E75" s="82">
        <v>0</v>
      </c>
      <c r="F75" s="82">
        <v>0</v>
      </c>
      <c r="G75" s="82">
        <v>0</v>
      </c>
      <c r="H75" s="82">
        <v>0</v>
      </c>
      <c r="I75" s="82">
        <v>0</v>
      </c>
      <c r="J75" s="82">
        <v>0</v>
      </c>
      <c r="K75" s="82">
        <v>0</v>
      </c>
      <c r="L75" s="82">
        <v>0</v>
      </c>
      <c r="M75" s="82">
        <v>0</v>
      </c>
      <c r="N75" s="82">
        <v>0</v>
      </c>
      <c r="O75" s="82">
        <v>0</v>
      </c>
      <c r="P75" s="82">
        <v>0</v>
      </c>
      <c r="Q75" s="82">
        <v>0</v>
      </c>
      <c r="R75" s="82">
        <v>223.53860499999999</v>
      </c>
      <c r="S75" s="82">
        <v>0</v>
      </c>
      <c r="T75" s="82">
        <v>0</v>
      </c>
      <c r="U75" s="82">
        <v>0</v>
      </c>
      <c r="V75" s="82">
        <v>0</v>
      </c>
      <c r="W75" s="82">
        <v>0</v>
      </c>
      <c r="X75" s="82">
        <v>0</v>
      </c>
      <c r="Y75" s="82">
        <v>0</v>
      </c>
      <c r="Z75" s="82">
        <v>0</v>
      </c>
      <c r="AA75" s="82">
        <v>0</v>
      </c>
      <c r="AB75" s="82">
        <v>0</v>
      </c>
      <c r="AC75" s="82">
        <v>0</v>
      </c>
      <c r="AD75" s="82">
        <v>0</v>
      </c>
      <c r="AE75" s="82">
        <v>0</v>
      </c>
      <c r="AF75" s="82">
        <v>0</v>
      </c>
      <c r="AG75" s="82">
        <v>0</v>
      </c>
      <c r="AH75" s="82">
        <v>0</v>
      </c>
      <c r="AI75" s="82">
        <v>0</v>
      </c>
      <c r="AJ75" s="82">
        <v>0</v>
      </c>
      <c r="AK75" s="82">
        <v>0</v>
      </c>
      <c r="AL75" s="82">
        <v>0</v>
      </c>
      <c r="AM75" s="82">
        <v>0</v>
      </c>
      <c r="AN75" s="82">
        <v>0</v>
      </c>
      <c r="AO75" s="82">
        <v>0</v>
      </c>
      <c r="AP75" s="82">
        <v>0</v>
      </c>
      <c r="AQ75" s="82">
        <v>0</v>
      </c>
      <c r="AR75" s="82">
        <v>0</v>
      </c>
      <c r="AS75" s="82">
        <v>0</v>
      </c>
      <c r="AT75" s="82">
        <v>0</v>
      </c>
      <c r="AU75" s="82">
        <v>0</v>
      </c>
      <c r="AV75" s="82">
        <v>0</v>
      </c>
      <c r="AW75" s="82">
        <v>0</v>
      </c>
      <c r="AX75" s="82">
        <v>0</v>
      </c>
      <c r="AY75" s="82">
        <v>0</v>
      </c>
      <c r="AZ75" s="82">
        <v>0</v>
      </c>
      <c r="BA75" s="82">
        <v>0</v>
      </c>
      <c r="BB75" s="82">
        <v>0</v>
      </c>
      <c r="BC75" s="82">
        <v>0</v>
      </c>
      <c r="BD75" s="82">
        <v>0</v>
      </c>
      <c r="BE75" s="82">
        <v>0</v>
      </c>
      <c r="BF75" s="82">
        <v>0</v>
      </c>
      <c r="BG75" s="82">
        <v>0</v>
      </c>
      <c r="BH75" s="82">
        <v>0</v>
      </c>
      <c r="BI75" s="82">
        <v>0</v>
      </c>
      <c r="BJ75" s="82">
        <v>0</v>
      </c>
      <c r="BK75" s="82">
        <v>0</v>
      </c>
      <c r="BL75" s="82">
        <v>0</v>
      </c>
      <c r="BM75" s="82">
        <v>0</v>
      </c>
      <c r="BN75" s="82">
        <v>0</v>
      </c>
      <c r="BO75" s="82">
        <v>0</v>
      </c>
      <c r="BP75" s="82">
        <v>0</v>
      </c>
      <c r="BQ75" s="82">
        <v>0</v>
      </c>
      <c r="BR75" s="82">
        <v>0</v>
      </c>
      <c r="BS75" s="82">
        <v>0</v>
      </c>
      <c r="BT75" s="82">
        <v>0</v>
      </c>
      <c r="BU75" s="82">
        <v>0</v>
      </c>
      <c r="BV75" s="82">
        <v>0</v>
      </c>
      <c r="BW75" s="44">
        <v>0</v>
      </c>
      <c r="BX75" s="44"/>
    </row>
  </sheetData>
  <phoneticPr fontId="0" type="noConversion"/>
  <pageMargins left="0.75" right="0.75" top="1" bottom="1" header="0.5" footer="0.5"/>
  <pageSetup orientation="portrait" horizontalDpi="0"/>
  <legacy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enableFormatConditionsCalculation="0">
    <pageSetUpPr fitToPage="1"/>
  </sheetPr>
  <dimension ref="A1:AN147"/>
  <sheetViews>
    <sheetView zoomScale="75" workbookViewId="0">
      <selection activeCell="N2" sqref="N2"/>
    </sheetView>
  </sheetViews>
  <sheetFormatPr baseColWidth="10" defaultColWidth="8.83203125" defaultRowHeight="12" x14ac:dyDescent="0"/>
  <cols>
    <col min="1" max="1" width="16.83203125" customWidth="1"/>
    <col min="2" max="19" width="9.6640625" style="112" customWidth="1"/>
  </cols>
  <sheetData>
    <row r="1" spans="1:40" ht="12.75" customHeight="1">
      <c r="A1" s="123" t="s">
        <v>817</v>
      </c>
      <c r="B1" s="124"/>
      <c r="C1" s="124"/>
      <c r="D1" s="124"/>
      <c r="E1" s="124"/>
      <c r="F1" s="124"/>
      <c r="G1" s="124"/>
      <c r="H1" s="124"/>
      <c r="I1" s="124"/>
      <c r="J1" s="124"/>
      <c r="K1" s="124"/>
      <c r="L1" s="124"/>
      <c r="M1" s="106"/>
      <c r="N1" s="106"/>
      <c r="O1" s="106"/>
      <c r="P1" s="106"/>
      <c r="Q1" s="106"/>
      <c r="R1" s="106"/>
      <c r="S1" s="106"/>
      <c r="T1" s="44"/>
      <c r="U1" s="44"/>
      <c r="V1" s="44"/>
      <c r="W1" s="44"/>
      <c r="X1" s="44"/>
      <c r="Y1" s="44"/>
      <c r="Z1" s="44"/>
      <c r="AA1" s="44"/>
      <c r="AB1" s="44"/>
      <c r="AC1" s="44"/>
      <c r="AD1" s="44"/>
      <c r="AE1" s="44"/>
      <c r="AF1" s="44"/>
      <c r="AG1" s="44"/>
      <c r="AH1" s="44"/>
      <c r="AI1" s="44"/>
      <c r="AJ1" s="44"/>
      <c r="AK1" s="44"/>
      <c r="AL1" s="44"/>
    </row>
    <row r="2" spans="1:40">
      <c r="A2" s="123"/>
      <c r="B2" s="124"/>
      <c r="C2" s="124"/>
      <c r="D2" s="124"/>
      <c r="E2" s="124"/>
      <c r="F2" s="124"/>
      <c r="G2" s="124"/>
      <c r="H2" s="124"/>
      <c r="I2" s="124"/>
      <c r="J2" s="124"/>
      <c r="K2" s="124"/>
      <c r="L2" s="124"/>
      <c r="M2" s="106"/>
      <c r="N2" s="106"/>
      <c r="O2" s="106"/>
      <c r="P2" s="106"/>
      <c r="Q2" s="106"/>
      <c r="R2" s="106"/>
      <c r="S2" s="106"/>
      <c r="T2" s="44"/>
      <c r="U2" s="44"/>
      <c r="V2" s="44"/>
      <c r="W2" s="44"/>
      <c r="X2" s="44"/>
      <c r="Y2" s="44"/>
      <c r="Z2" s="44"/>
      <c r="AA2" s="44"/>
      <c r="AB2" s="44"/>
      <c r="AC2" s="44"/>
      <c r="AD2" s="44"/>
      <c r="AE2" s="44"/>
      <c r="AF2" s="44"/>
      <c r="AG2" s="44"/>
      <c r="AH2" s="44"/>
      <c r="AI2" s="44"/>
      <c r="AJ2" s="44"/>
      <c r="AK2" s="44"/>
      <c r="AL2" s="44"/>
    </row>
    <row r="3" spans="1:40">
      <c r="A3" s="123"/>
      <c r="B3" s="124"/>
      <c r="C3" s="124"/>
      <c r="D3" s="124"/>
      <c r="E3" s="124"/>
      <c r="F3" s="124"/>
      <c r="G3" s="124"/>
      <c r="H3" s="124"/>
      <c r="I3" s="124"/>
      <c r="J3" s="124"/>
      <c r="K3" s="124"/>
      <c r="L3" s="124"/>
      <c r="M3" s="106"/>
      <c r="N3" s="106"/>
      <c r="O3" s="106"/>
      <c r="P3" s="106"/>
      <c r="Q3" s="106"/>
      <c r="R3" s="106"/>
      <c r="S3" s="106"/>
      <c r="T3" s="44"/>
      <c r="U3" s="44"/>
      <c r="V3" s="44"/>
      <c r="W3" s="44"/>
      <c r="X3" s="44"/>
      <c r="Y3" s="44"/>
      <c r="Z3" s="44"/>
      <c r="AA3" s="44"/>
      <c r="AB3" s="44"/>
      <c r="AC3" s="44"/>
      <c r="AD3" s="44"/>
      <c r="AE3" s="44"/>
      <c r="AF3" s="44"/>
      <c r="AG3" s="44"/>
      <c r="AH3" s="44"/>
      <c r="AI3" s="44"/>
      <c r="AJ3" s="44"/>
      <c r="AK3" s="44"/>
      <c r="AL3" s="44"/>
    </row>
    <row r="4" spans="1:40" ht="15">
      <c r="A4" s="61" t="s">
        <v>653</v>
      </c>
      <c r="B4" s="107"/>
      <c r="C4" s="121" t="s">
        <v>207</v>
      </c>
      <c r="D4" s="106" t="s">
        <v>998</v>
      </c>
      <c r="E4" s="106"/>
      <c r="F4" s="106"/>
      <c r="G4" s="106"/>
      <c r="H4" s="106"/>
      <c r="I4" s="106"/>
      <c r="J4" s="106"/>
      <c r="K4" s="106"/>
      <c r="L4" s="106"/>
      <c r="M4" s="106"/>
      <c r="N4" s="106"/>
      <c r="O4" s="106"/>
      <c r="P4" s="106"/>
      <c r="Q4" s="106"/>
      <c r="R4" s="106"/>
      <c r="S4" s="106"/>
      <c r="T4" s="44"/>
      <c r="U4" s="44"/>
      <c r="V4" s="44"/>
      <c r="W4" s="44"/>
      <c r="X4" s="44"/>
      <c r="Y4" s="44"/>
      <c r="Z4" s="44"/>
      <c r="AA4" s="44"/>
      <c r="AB4" s="44"/>
      <c r="AC4" s="44"/>
      <c r="AD4" s="44"/>
      <c r="AE4" s="44"/>
      <c r="AF4" s="44"/>
      <c r="AG4" s="44"/>
      <c r="AH4" s="44"/>
      <c r="AI4" s="44"/>
      <c r="AJ4" s="44"/>
      <c r="AK4" s="44"/>
      <c r="AL4" s="44"/>
    </row>
    <row r="5" spans="1:40" ht="15">
      <c r="A5" s="122" t="s">
        <v>185</v>
      </c>
      <c r="B5" s="122"/>
      <c r="C5" s="122"/>
      <c r="D5" s="122"/>
      <c r="E5" s="122"/>
      <c r="F5" s="122"/>
      <c r="G5" s="122"/>
      <c r="H5" s="122"/>
      <c r="I5" s="122"/>
      <c r="J5" s="122"/>
      <c r="K5" s="122"/>
      <c r="L5" s="122"/>
      <c r="M5" s="122"/>
      <c r="N5" s="122"/>
      <c r="O5" s="122"/>
      <c r="P5" s="122"/>
      <c r="Q5" s="108"/>
      <c r="R5" s="106"/>
      <c r="S5" s="106"/>
      <c r="T5" s="44"/>
      <c r="U5" s="44"/>
      <c r="V5" s="44"/>
      <c r="W5" s="44"/>
      <c r="X5" s="44"/>
      <c r="Y5" s="44"/>
      <c r="Z5" s="44"/>
      <c r="AA5" s="44"/>
      <c r="AB5" s="44"/>
      <c r="AC5" s="44"/>
      <c r="AD5" s="44"/>
      <c r="AE5" s="44"/>
      <c r="AF5" s="44"/>
      <c r="AG5" s="44"/>
      <c r="AH5" s="44"/>
      <c r="AI5" s="44"/>
      <c r="AJ5" s="44"/>
      <c r="AK5" s="44"/>
      <c r="AL5" s="44"/>
    </row>
    <row r="6" spans="1:40" s="81" customFormat="1">
      <c r="A6" s="49"/>
      <c r="B6" s="109" t="str">
        <f>AggMat!C1</f>
        <v>agr</v>
      </c>
      <c r="C6" s="109" t="str">
        <f>AggMat!D1</f>
        <v>oth</v>
      </c>
      <c r="D6" s="109" t="s">
        <v>14</v>
      </c>
      <c r="E6" s="109" t="s">
        <v>13</v>
      </c>
      <c r="F6" s="109" t="s">
        <v>9</v>
      </c>
      <c r="G6" s="109" t="s">
        <v>6</v>
      </c>
      <c r="H6" s="109" t="s">
        <v>8</v>
      </c>
      <c r="I6" s="109" t="s">
        <v>15</v>
      </c>
      <c r="J6" s="109" t="s">
        <v>5</v>
      </c>
      <c r="K6" s="109" t="s">
        <v>17</v>
      </c>
      <c r="L6" s="109" t="s">
        <v>880</v>
      </c>
      <c r="M6" s="109" t="s">
        <v>881</v>
      </c>
      <c r="N6" s="109" t="s">
        <v>884</v>
      </c>
      <c r="O6" s="109" t="s">
        <v>882</v>
      </c>
      <c r="P6" s="109" t="s">
        <v>883</v>
      </c>
      <c r="Q6" s="109" t="s">
        <v>16</v>
      </c>
      <c r="R6" s="110" t="s">
        <v>652</v>
      </c>
      <c r="S6" s="111" t="s">
        <v>654</v>
      </c>
      <c r="T6" s="80"/>
      <c r="U6" s="80"/>
      <c r="V6" s="80"/>
      <c r="W6" s="80"/>
      <c r="X6" s="80"/>
      <c r="Y6" s="80"/>
      <c r="Z6" s="80"/>
      <c r="AA6" s="80"/>
      <c r="AB6" s="80"/>
      <c r="AC6" s="80"/>
      <c r="AD6" s="80"/>
      <c r="AE6" s="80"/>
      <c r="AF6" s="80"/>
      <c r="AG6" s="80"/>
      <c r="AH6" s="80"/>
      <c r="AI6" s="80"/>
      <c r="AJ6" s="80"/>
      <c r="AK6" s="80"/>
      <c r="AL6" s="80"/>
      <c r="AM6" s="80"/>
      <c r="AN6" s="80"/>
    </row>
    <row r="7" spans="1:40">
      <c r="A7" s="113" t="str">
        <f>B6</f>
        <v>agr</v>
      </c>
      <c r="B7" s="114">
        <f t="array" ref="B7:Q22">MMULT(MMULT(TRANSPOSE(AggMAT),VALUE(BaseSAM)),AggMAT)</f>
        <v>665.16760308399989</v>
      </c>
      <c r="C7" s="114">
        <v>12156.791332244002</v>
      </c>
      <c r="D7" s="114">
        <v>0</v>
      </c>
      <c r="E7" s="114">
        <v>0</v>
      </c>
      <c r="F7" s="114">
        <v>0</v>
      </c>
      <c r="G7" s="114">
        <v>3080.1355777749995</v>
      </c>
      <c r="H7" s="114">
        <v>6.2288700000000014E-4</v>
      </c>
      <c r="I7" s="114">
        <v>58.570509595000004</v>
      </c>
      <c r="J7" s="114">
        <v>0</v>
      </c>
      <c r="K7" s="114">
        <v>0</v>
      </c>
      <c r="L7" s="114">
        <v>0</v>
      </c>
      <c r="M7" s="114">
        <v>0</v>
      </c>
      <c r="N7" s="114">
        <v>0</v>
      </c>
      <c r="O7" s="114">
        <v>0</v>
      </c>
      <c r="P7" s="114">
        <v>0</v>
      </c>
      <c r="Q7" s="114">
        <v>2767.5739260140003</v>
      </c>
      <c r="R7" s="115">
        <f t="shared" ref="R7:R22" si="0">SUM(B7:Q7)</f>
        <v>18728.239571599002</v>
      </c>
      <c r="S7" s="116">
        <f t="array" ref="S7:S22">R7:R22-TRANSPOSE(B23:Q23)</f>
        <v>9.7363254462834448E-4</v>
      </c>
      <c r="T7" s="44"/>
      <c r="U7" s="44"/>
      <c r="V7" s="44"/>
      <c r="W7" s="44"/>
      <c r="X7" s="44"/>
      <c r="Y7" s="44"/>
      <c r="Z7" s="44"/>
      <c r="AA7" s="44"/>
      <c r="AB7" s="44"/>
      <c r="AC7" s="44"/>
      <c r="AD7" s="44"/>
      <c r="AE7" s="44"/>
      <c r="AF7" s="44"/>
      <c r="AG7" s="44"/>
      <c r="AH7" s="44"/>
      <c r="AI7" s="44"/>
      <c r="AJ7" s="44"/>
      <c r="AK7" s="44"/>
      <c r="AL7" s="44"/>
      <c r="AM7" s="44"/>
      <c r="AN7" s="44"/>
    </row>
    <row r="8" spans="1:40">
      <c r="A8" s="113" t="str">
        <f>C6</f>
        <v>oth</v>
      </c>
      <c r="B8" s="114">
        <v>4709.7618488514572</v>
      </c>
      <c r="C8" s="114">
        <v>128243.83430930001</v>
      </c>
      <c r="D8" s="114">
        <v>0</v>
      </c>
      <c r="E8" s="114">
        <v>0</v>
      </c>
      <c r="F8" s="114">
        <v>0</v>
      </c>
      <c r="G8" s="114">
        <v>59313.267364675005</v>
      </c>
      <c r="H8" s="114">
        <v>11558.307696295007</v>
      </c>
      <c r="I8" s="114">
        <v>23016.550355765004</v>
      </c>
      <c r="J8" s="114">
        <v>0</v>
      </c>
      <c r="K8" s="114">
        <v>0</v>
      </c>
      <c r="L8" s="114">
        <v>0</v>
      </c>
      <c r="M8" s="114">
        <v>0</v>
      </c>
      <c r="N8" s="114">
        <v>0</v>
      </c>
      <c r="O8" s="114">
        <v>0</v>
      </c>
      <c r="P8" s="114">
        <v>0</v>
      </c>
      <c r="Q8" s="114">
        <v>78397.476999468985</v>
      </c>
      <c r="R8" s="115">
        <f t="shared" si="0"/>
        <v>305239.19857435545</v>
      </c>
      <c r="S8" s="116">
        <v>-0.35862846253439784</v>
      </c>
      <c r="T8" s="44"/>
      <c r="U8" s="44"/>
      <c r="V8" s="44"/>
      <c r="W8" s="44"/>
      <c r="X8" s="44"/>
      <c r="Y8" s="44"/>
      <c r="Z8" s="44"/>
      <c r="AA8" s="44"/>
      <c r="AB8" s="44"/>
      <c r="AC8" s="44"/>
      <c r="AD8" s="44"/>
      <c r="AE8" s="44"/>
      <c r="AF8" s="44"/>
      <c r="AG8" s="44"/>
      <c r="AH8" s="44"/>
      <c r="AI8" s="44"/>
      <c r="AJ8" s="44"/>
      <c r="AK8" s="44"/>
      <c r="AL8" s="44"/>
      <c r="AM8" s="44"/>
      <c r="AN8" s="44"/>
    </row>
    <row r="9" spans="1:40">
      <c r="A9" s="113" t="s">
        <v>14</v>
      </c>
      <c r="B9" s="114">
        <v>4306.2764146449999</v>
      </c>
      <c r="C9" s="114">
        <v>26485.782576470003</v>
      </c>
      <c r="D9" s="114">
        <v>0</v>
      </c>
      <c r="E9" s="114">
        <v>0</v>
      </c>
      <c r="F9" s="114">
        <v>0</v>
      </c>
      <c r="G9" s="114">
        <v>0</v>
      </c>
      <c r="H9" s="114">
        <v>0</v>
      </c>
      <c r="I9" s="114">
        <v>0</v>
      </c>
      <c r="J9" s="114">
        <v>0</v>
      </c>
      <c r="K9" s="114">
        <v>0</v>
      </c>
      <c r="L9" s="114">
        <v>0</v>
      </c>
      <c r="M9" s="114">
        <v>0</v>
      </c>
      <c r="N9" s="114">
        <v>0</v>
      </c>
      <c r="O9" s="114">
        <v>0</v>
      </c>
      <c r="P9" s="114">
        <v>0</v>
      </c>
      <c r="Q9" s="114">
        <v>0</v>
      </c>
      <c r="R9" s="115">
        <f t="shared" si="0"/>
        <v>30792.058991115002</v>
      </c>
      <c r="S9" s="116">
        <v>0</v>
      </c>
      <c r="T9" s="44"/>
      <c r="U9" s="44"/>
      <c r="V9" s="44"/>
      <c r="W9" s="44"/>
      <c r="X9" s="44"/>
      <c r="Y9" s="44"/>
      <c r="Z9" s="44"/>
      <c r="AA9" s="44"/>
      <c r="AB9" s="44"/>
      <c r="AC9" s="44"/>
      <c r="AD9" s="44"/>
      <c r="AE9" s="44"/>
      <c r="AF9" s="44"/>
      <c r="AG9" s="44"/>
      <c r="AH9" s="44"/>
      <c r="AI9" s="44"/>
      <c r="AJ9" s="44"/>
      <c r="AK9" s="44"/>
      <c r="AL9" s="44"/>
      <c r="AM9" s="44"/>
      <c r="AN9" s="44"/>
    </row>
    <row r="10" spans="1:40">
      <c r="A10" s="113" t="s">
        <v>13</v>
      </c>
      <c r="B10" s="114">
        <v>5775.2975462000013</v>
      </c>
      <c r="C10" s="114">
        <v>60737.548934599996</v>
      </c>
      <c r="D10" s="114">
        <v>0</v>
      </c>
      <c r="E10" s="114">
        <v>0</v>
      </c>
      <c r="F10" s="114">
        <v>0</v>
      </c>
      <c r="G10" s="114">
        <v>0</v>
      </c>
      <c r="H10" s="114">
        <v>0</v>
      </c>
      <c r="I10" s="114">
        <v>0</v>
      </c>
      <c r="J10" s="114">
        <v>0</v>
      </c>
      <c r="K10" s="114">
        <v>0</v>
      </c>
      <c r="L10" s="114">
        <v>0</v>
      </c>
      <c r="M10" s="114">
        <v>0</v>
      </c>
      <c r="N10" s="114">
        <v>0</v>
      </c>
      <c r="O10" s="114">
        <v>0</v>
      </c>
      <c r="P10" s="114">
        <v>0</v>
      </c>
      <c r="Q10" s="114">
        <v>0</v>
      </c>
      <c r="R10" s="115">
        <f t="shared" si="0"/>
        <v>66512.846480799999</v>
      </c>
      <c r="S10" s="116">
        <v>-1.0040821507573128E-9</v>
      </c>
      <c r="T10" s="44"/>
      <c r="U10" s="44"/>
      <c r="V10" s="44"/>
      <c r="W10" s="44"/>
      <c r="X10" s="44"/>
      <c r="Y10" s="44"/>
      <c r="Z10" s="44"/>
      <c r="AA10" s="44"/>
      <c r="AB10" s="44"/>
      <c r="AC10" s="44"/>
      <c r="AD10" s="44"/>
      <c r="AE10" s="44"/>
      <c r="AF10" s="44"/>
      <c r="AG10" s="44"/>
      <c r="AH10" s="44"/>
      <c r="AI10" s="44"/>
      <c r="AJ10" s="44"/>
      <c r="AK10" s="44"/>
      <c r="AL10" s="44"/>
      <c r="AM10" s="44"/>
      <c r="AN10" s="44"/>
    </row>
    <row r="11" spans="1:40">
      <c r="A11" s="113" t="s">
        <v>9</v>
      </c>
      <c r="B11" s="114">
        <v>1374.2495100000001</v>
      </c>
      <c r="C11" s="114">
        <v>223.53860499999999</v>
      </c>
      <c r="D11" s="114">
        <v>0</v>
      </c>
      <c r="E11" s="114">
        <v>0</v>
      </c>
      <c r="F11" s="114">
        <v>0</v>
      </c>
      <c r="G11" s="114">
        <v>0</v>
      </c>
      <c r="H11" s="114">
        <v>0</v>
      </c>
      <c r="I11" s="114">
        <v>0</v>
      </c>
      <c r="J11" s="114">
        <v>0</v>
      </c>
      <c r="K11" s="114">
        <v>0</v>
      </c>
      <c r="L11" s="114">
        <v>0</v>
      </c>
      <c r="M11" s="114">
        <v>0</v>
      </c>
      <c r="N11" s="114">
        <v>0</v>
      </c>
      <c r="O11" s="114">
        <v>0</v>
      </c>
      <c r="P11" s="114">
        <v>0</v>
      </c>
      <c r="Q11" s="114">
        <v>0</v>
      </c>
      <c r="R11" s="115">
        <f t="shared" si="0"/>
        <v>1597.7881150000001</v>
      </c>
      <c r="S11" s="116">
        <v>0</v>
      </c>
      <c r="T11" s="44"/>
      <c r="U11" s="44"/>
      <c r="V11" s="44"/>
      <c r="W11" s="44"/>
      <c r="X11" s="44"/>
      <c r="Y11" s="44"/>
      <c r="Z11" s="44"/>
      <c r="AA11" s="44"/>
      <c r="AB11" s="44"/>
      <c r="AC11" s="44"/>
      <c r="AD11" s="44"/>
      <c r="AE11" s="44"/>
      <c r="AF11" s="44"/>
      <c r="AG11" s="44"/>
      <c r="AH11" s="44"/>
      <c r="AI11" s="44"/>
      <c r="AJ11" s="44"/>
      <c r="AK11" s="44"/>
      <c r="AL11" s="44"/>
      <c r="AM11" s="44"/>
      <c r="AN11" s="44"/>
    </row>
    <row r="12" spans="1:40">
      <c r="A12" s="113" t="s">
        <v>6</v>
      </c>
      <c r="B12" s="114">
        <v>0</v>
      </c>
      <c r="C12" s="114">
        <v>0</v>
      </c>
      <c r="D12" s="114">
        <v>30792.058991115002</v>
      </c>
      <c r="E12" s="114">
        <v>66512.846480801003</v>
      </c>
      <c r="F12" s="114">
        <v>1597.7881150000001</v>
      </c>
      <c r="G12" s="114">
        <v>0</v>
      </c>
      <c r="H12" s="114">
        <v>0</v>
      </c>
      <c r="I12" s="114">
        <v>0</v>
      </c>
      <c r="J12" s="114">
        <v>0</v>
      </c>
      <c r="K12" s="114">
        <v>0</v>
      </c>
      <c r="L12" s="114">
        <v>0</v>
      </c>
      <c r="M12" s="114">
        <v>0</v>
      </c>
      <c r="N12" s="114">
        <v>0</v>
      </c>
      <c r="O12" s="114">
        <v>0</v>
      </c>
      <c r="P12" s="114">
        <v>0</v>
      </c>
      <c r="Q12" s="114">
        <v>0</v>
      </c>
      <c r="R12" s="115">
        <f t="shared" si="0"/>
        <v>98902.693586916008</v>
      </c>
      <c r="S12" s="116">
        <v>-9.8953023552894592E-10</v>
      </c>
      <c r="T12" s="44"/>
      <c r="U12" s="44"/>
      <c r="V12" s="44"/>
      <c r="W12" s="44"/>
      <c r="X12" s="44"/>
      <c r="Y12" s="44"/>
      <c r="Z12" s="44"/>
      <c r="AA12" s="44"/>
      <c r="AB12" s="44"/>
      <c r="AC12" s="44"/>
      <c r="AD12" s="44"/>
      <c r="AE12" s="44"/>
      <c r="AF12" s="44"/>
      <c r="AG12" s="44"/>
      <c r="AH12" s="44"/>
      <c r="AI12" s="44"/>
      <c r="AJ12" s="44"/>
      <c r="AK12" s="44"/>
      <c r="AL12" s="44"/>
      <c r="AM12" s="44"/>
      <c r="AN12" s="44"/>
    </row>
    <row r="13" spans="1:40">
      <c r="A13" s="113" t="s">
        <v>8</v>
      </c>
      <c r="B13" s="114">
        <v>0</v>
      </c>
      <c r="C13" s="114">
        <v>0</v>
      </c>
      <c r="D13" s="114">
        <v>0</v>
      </c>
      <c r="E13" s="114">
        <v>0</v>
      </c>
      <c r="F13" s="114">
        <v>0</v>
      </c>
      <c r="G13" s="114">
        <v>0</v>
      </c>
      <c r="H13" s="114">
        <v>0</v>
      </c>
      <c r="I13" s="114">
        <v>0</v>
      </c>
      <c r="J13" s="114">
        <v>0</v>
      </c>
      <c r="K13" s="114">
        <v>0</v>
      </c>
      <c r="L13" s="114">
        <v>19.077220847</v>
      </c>
      <c r="M13" s="114">
        <v>9860.4783360580004</v>
      </c>
      <c r="N13" s="114">
        <v>-4220.171312429</v>
      </c>
      <c r="O13" s="114">
        <v>5638.2866156299997</v>
      </c>
      <c r="P13" s="114">
        <v>260.63765604000002</v>
      </c>
      <c r="Q13" s="114">
        <v>0</v>
      </c>
      <c r="R13" s="115">
        <f t="shared" si="0"/>
        <v>11558.308516146002</v>
      </c>
      <c r="S13" s="116">
        <v>1.9696399431268219E-4</v>
      </c>
      <c r="T13" s="44"/>
      <c r="U13" s="44"/>
      <c r="V13" s="44"/>
      <c r="W13" s="44"/>
      <c r="X13" s="44"/>
      <c r="Y13" s="44"/>
      <c r="Z13" s="44"/>
      <c r="AA13" s="44"/>
      <c r="AB13" s="44"/>
      <c r="AC13" s="44"/>
      <c r="AD13" s="44"/>
      <c r="AE13" s="44"/>
      <c r="AF13" s="44"/>
      <c r="AG13" s="44"/>
      <c r="AH13" s="44"/>
      <c r="AI13" s="44"/>
      <c r="AJ13" s="44"/>
      <c r="AK13" s="44"/>
      <c r="AL13" s="44"/>
      <c r="AM13" s="44"/>
      <c r="AN13" s="44"/>
    </row>
    <row r="14" spans="1:40">
      <c r="A14" s="113" t="s">
        <v>15</v>
      </c>
      <c r="B14" s="114">
        <v>0</v>
      </c>
      <c r="C14" s="114">
        <v>0</v>
      </c>
      <c r="D14" s="114">
        <v>0</v>
      </c>
      <c r="E14" s="114">
        <v>0</v>
      </c>
      <c r="F14" s="114">
        <v>0</v>
      </c>
      <c r="G14" s="114">
        <v>25457.1895</v>
      </c>
      <c r="H14" s="114">
        <v>0</v>
      </c>
      <c r="I14" s="114">
        <v>0</v>
      </c>
      <c r="J14" s="114">
        <v>15290.1963</v>
      </c>
      <c r="K14" s="114">
        <v>0</v>
      </c>
      <c r="L14" s="114">
        <v>0</v>
      </c>
      <c r="M14" s="114">
        <v>0</v>
      </c>
      <c r="N14" s="114">
        <v>0</v>
      </c>
      <c r="O14" s="114">
        <v>0</v>
      </c>
      <c r="P14" s="114">
        <v>0</v>
      </c>
      <c r="Q14" s="114">
        <v>0</v>
      </c>
      <c r="R14" s="115">
        <f t="shared" si="0"/>
        <v>40747.385800000004</v>
      </c>
      <c r="S14" s="116">
        <v>0.10245464000036009</v>
      </c>
      <c r="T14" s="44"/>
      <c r="U14" s="44"/>
      <c r="V14" s="44"/>
      <c r="W14" s="44"/>
      <c r="X14" s="44"/>
      <c r="Y14" s="44"/>
      <c r="Z14" s="44"/>
      <c r="AA14" s="44"/>
      <c r="AB14" s="44"/>
      <c r="AC14" s="44"/>
      <c r="AD14" s="44"/>
      <c r="AE14" s="44"/>
      <c r="AF14" s="44"/>
      <c r="AG14" s="44"/>
      <c r="AH14" s="44"/>
      <c r="AI14" s="44"/>
      <c r="AJ14" s="44"/>
      <c r="AK14" s="44"/>
      <c r="AL14" s="44"/>
      <c r="AM14" s="44"/>
      <c r="AN14" s="44"/>
    </row>
    <row r="15" spans="1:40">
      <c r="A15" s="113" t="s">
        <v>5</v>
      </c>
      <c r="B15" s="114">
        <v>0</v>
      </c>
      <c r="C15" s="114">
        <v>0</v>
      </c>
      <c r="D15" s="114">
        <v>0</v>
      </c>
      <c r="E15" s="114">
        <v>0</v>
      </c>
      <c r="F15" s="114">
        <v>0</v>
      </c>
      <c r="G15" s="114">
        <v>15290.1963</v>
      </c>
      <c r="H15" s="114">
        <v>0</v>
      </c>
      <c r="I15" s="114">
        <v>0</v>
      </c>
      <c r="J15" s="114">
        <v>0</v>
      </c>
      <c r="K15" s="114">
        <v>0</v>
      </c>
      <c r="L15" s="114">
        <v>0</v>
      </c>
      <c r="M15" s="114">
        <v>0</v>
      </c>
      <c r="N15" s="114">
        <v>0</v>
      </c>
      <c r="O15" s="114">
        <v>0</v>
      </c>
      <c r="P15" s="114">
        <v>0</v>
      </c>
      <c r="Q15" s="114">
        <v>0</v>
      </c>
      <c r="R15" s="115">
        <f t="shared" si="0"/>
        <v>15290.1963</v>
      </c>
      <c r="S15" s="116">
        <v>0</v>
      </c>
      <c r="T15" s="44"/>
      <c r="U15" s="44"/>
      <c r="V15" s="44"/>
      <c r="W15" s="44"/>
      <c r="X15" s="44"/>
      <c r="Y15" s="44"/>
      <c r="Z15" s="44"/>
      <c r="AA15" s="44"/>
      <c r="AB15" s="44"/>
      <c r="AC15" s="44"/>
      <c r="AD15" s="44"/>
      <c r="AE15" s="44"/>
      <c r="AF15" s="44"/>
      <c r="AG15" s="44"/>
      <c r="AH15" s="44"/>
      <c r="AI15" s="44"/>
      <c r="AJ15" s="44"/>
      <c r="AK15" s="44"/>
      <c r="AL15" s="44"/>
      <c r="AM15" s="44"/>
      <c r="AN15" s="44"/>
    </row>
    <row r="16" spans="1:40">
      <c r="A16" s="113" t="s">
        <v>17</v>
      </c>
      <c r="B16" s="114">
        <v>0</v>
      </c>
      <c r="C16" s="114">
        <v>0</v>
      </c>
      <c r="D16" s="114">
        <v>0</v>
      </c>
      <c r="E16" s="114">
        <v>0</v>
      </c>
      <c r="F16" s="114">
        <v>0</v>
      </c>
      <c r="G16" s="114">
        <v>0</v>
      </c>
      <c r="H16" s="114">
        <v>0</v>
      </c>
      <c r="I16" s="114">
        <v>0</v>
      </c>
      <c r="J16" s="114">
        <v>0</v>
      </c>
      <c r="K16" s="114">
        <v>0</v>
      </c>
      <c r="L16" s="114">
        <v>0</v>
      </c>
      <c r="M16" s="114">
        <v>0</v>
      </c>
      <c r="N16" s="114">
        <v>0</v>
      </c>
      <c r="O16" s="114">
        <v>0</v>
      </c>
      <c r="P16" s="114">
        <v>0</v>
      </c>
      <c r="Q16" s="114">
        <v>0</v>
      </c>
      <c r="R16" s="115">
        <f t="shared" si="0"/>
        <v>0</v>
      </c>
      <c r="S16" s="116">
        <v>0</v>
      </c>
      <c r="T16" s="44"/>
      <c r="U16" s="44"/>
      <c r="V16" s="44"/>
      <c r="W16" s="44"/>
      <c r="X16" s="44"/>
      <c r="Y16" s="44"/>
      <c r="Z16" s="44"/>
      <c r="AA16" s="44"/>
      <c r="AB16" s="44"/>
      <c r="AC16" s="44"/>
      <c r="AD16" s="44"/>
      <c r="AE16" s="44"/>
      <c r="AF16" s="44"/>
      <c r="AG16" s="44"/>
      <c r="AH16" s="44"/>
      <c r="AI16" s="44"/>
      <c r="AJ16" s="44"/>
      <c r="AK16" s="44"/>
      <c r="AL16" s="44"/>
      <c r="AM16" s="44"/>
      <c r="AN16" s="44"/>
    </row>
    <row r="17" spans="1:40">
      <c r="A17" s="113" t="s">
        <v>880</v>
      </c>
      <c r="B17" s="114">
        <v>-1.5845563999999999E-2</v>
      </c>
      <c r="C17" s="114">
        <v>36.933133115999986</v>
      </c>
      <c r="D17" s="114">
        <v>0</v>
      </c>
      <c r="E17" s="114">
        <v>0</v>
      </c>
      <c r="F17" s="114">
        <v>0</v>
      </c>
      <c r="G17" s="114">
        <v>-17.923843103999999</v>
      </c>
      <c r="H17" s="114">
        <v>0</v>
      </c>
      <c r="I17" s="114">
        <v>0</v>
      </c>
      <c r="J17" s="114">
        <v>0</v>
      </c>
      <c r="K17" s="114">
        <v>0</v>
      </c>
      <c r="L17" s="114">
        <v>0</v>
      </c>
      <c r="M17" s="114">
        <v>0</v>
      </c>
      <c r="N17" s="114">
        <v>0</v>
      </c>
      <c r="O17" s="114">
        <v>0</v>
      </c>
      <c r="P17" s="114">
        <v>0</v>
      </c>
      <c r="Q17" s="114">
        <v>0</v>
      </c>
      <c r="R17" s="115">
        <f t="shared" si="0"/>
        <v>18.993444447999984</v>
      </c>
      <c r="S17" s="116">
        <v>-8.3776399000015545E-2</v>
      </c>
      <c r="T17" s="44"/>
      <c r="U17" s="44"/>
      <c r="V17" s="44"/>
      <c r="W17" s="44"/>
      <c r="X17" s="44"/>
      <c r="Y17" s="44"/>
      <c r="Z17" s="44"/>
      <c r="AA17" s="44"/>
      <c r="AB17" s="44"/>
      <c r="AC17" s="44"/>
      <c r="AD17" s="44"/>
      <c r="AE17" s="44"/>
      <c r="AF17" s="44"/>
      <c r="AG17" s="44"/>
      <c r="AH17" s="44"/>
      <c r="AI17" s="44"/>
      <c r="AJ17" s="44"/>
      <c r="AK17" s="44"/>
      <c r="AL17" s="44"/>
      <c r="AM17" s="44"/>
      <c r="AN17" s="44"/>
    </row>
    <row r="18" spans="1:40">
      <c r="A18" s="113" t="s">
        <v>881</v>
      </c>
      <c r="B18" s="114">
        <v>25.504708168999993</v>
      </c>
      <c r="C18" s="114">
        <v>9834.9736278900018</v>
      </c>
      <c r="D18" s="114">
        <v>0</v>
      </c>
      <c r="E18" s="114">
        <v>0</v>
      </c>
      <c r="F18" s="114">
        <v>0</v>
      </c>
      <c r="G18" s="114">
        <v>0</v>
      </c>
      <c r="H18" s="114">
        <v>0</v>
      </c>
      <c r="I18" s="114">
        <v>0</v>
      </c>
      <c r="J18" s="114">
        <v>0</v>
      </c>
      <c r="K18" s="114">
        <v>0</v>
      </c>
      <c r="L18" s="114">
        <v>0</v>
      </c>
      <c r="M18" s="114">
        <v>0</v>
      </c>
      <c r="N18" s="114">
        <v>0</v>
      </c>
      <c r="O18" s="114">
        <v>0</v>
      </c>
      <c r="P18" s="114">
        <v>0</v>
      </c>
      <c r="Q18" s="114">
        <v>0</v>
      </c>
      <c r="R18" s="115">
        <f t="shared" si="0"/>
        <v>9860.4783360590027</v>
      </c>
      <c r="S18" s="116">
        <v>1.0022631613537669E-9</v>
      </c>
      <c r="T18" s="44"/>
      <c r="U18" s="44"/>
      <c r="V18" s="44"/>
      <c r="W18" s="44"/>
      <c r="X18" s="44"/>
      <c r="Y18" s="44"/>
      <c r="Z18" s="44"/>
      <c r="AA18" s="44"/>
      <c r="AB18" s="44"/>
      <c r="AC18" s="44"/>
      <c r="AD18" s="44"/>
      <c r="AE18" s="44"/>
      <c r="AF18" s="44"/>
      <c r="AG18" s="44"/>
      <c r="AH18" s="44"/>
      <c r="AI18" s="44"/>
      <c r="AJ18" s="44"/>
      <c r="AK18" s="44"/>
      <c r="AL18" s="44"/>
      <c r="AM18" s="44"/>
      <c r="AN18" s="44"/>
    </row>
    <row r="19" spans="1:40">
      <c r="A19" s="113" t="s">
        <v>884</v>
      </c>
      <c r="B19" s="114">
        <v>0</v>
      </c>
      <c r="C19" s="114">
        <v>0</v>
      </c>
      <c r="D19" s="114">
        <v>0</v>
      </c>
      <c r="E19" s="114">
        <v>0</v>
      </c>
      <c r="F19" s="114">
        <v>0</v>
      </c>
      <c r="G19" s="114">
        <v>-4220.171312429</v>
      </c>
      <c r="H19" s="114">
        <v>0</v>
      </c>
      <c r="I19" s="114">
        <v>0</v>
      </c>
      <c r="J19" s="114">
        <v>0</v>
      </c>
      <c r="K19" s="114">
        <v>0</v>
      </c>
      <c r="L19" s="114">
        <v>0</v>
      </c>
      <c r="M19" s="114">
        <v>0</v>
      </c>
      <c r="N19" s="114">
        <v>0</v>
      </c>
      <c r="O19" s="114">
        <v>0</v>
      </c>
      <c r="P19" s="114">
        <v>0</v>
      </c>
      <c r="Q19" s="114">
        <v>0</v>
      </c>
      <c r="R19" s="115">
        <f t="shared" si="0"/>
        <v>-4220.171312429</v>
      </c>
      <c r="S19" s="116">
        <v>0</v>
      </c>
      <c r="T19" s="44"/>
      <c r="U19" s="44"/>
      <c r="V19" s="44"/>
      <c r="W19" s="44"/>
      <c r="X19" s="44"/>
      <c r="Y19" s="44"/>
      <c r="Z19" s="44"/>
      <c r="AA19" s="44"/>
      <c r="AB19" s="44"/>
      <c r="AC19" s="44"/>
      <c r="AD19" s="44"/>
      <c r="AE19" s="44"/>
      <c r="AF19" s="44"/>
      <c r="AG19" s="44"/>
      <c r="AH19" s="44"/>
      <c r="AI19" s="44"/>
      <c r="AJ19" s="44"/>
      <c r="AK19" s="44"/>
      <c r="AL19" s="44"/>
      <c r="AM19" s="44"/>
      <c r="AN19" s="44"/>
    </row>
    <row r="20" spans="1:40">
      <c r="A20" s="113" t="s">
        <v>882</v>
      </c>
      <c r="B20" s="114">
        <v>219.70818784600002</v>
      </c>
      <c r="C20" s="114">
        <v>5418.5784277849989</v>
      </c>
      <c r="D20" s="114">
        <v>0</v>
      </c>
      <c r="E20" s="114">
        <v>0</v>
      </c>
      <c r="F20" s="114">
        <v>0</v>
      </c>
      <c r="G20" s="114">
        <v>0</v>
      </c>
      <c r="H20" s="114">
        <v>0</v>
      </c>
      <c r="I20" s="114">
        <v>0</v>
      </c>
      <c r="J20" s="114">
        <v>0</v>
      </c>
      <c r="K20" s="114">
        <v>0</v>
      </c>
      <c r="L20" s="114">
        <v>0</v>
      </c>
      <c r="M20" s="114">
        <v>0</v>
      </c>
      <c r="N20" s="114">
        <v>0</v>
      </c>
      <c r="O20" s="114">
        <v>0</v>
      </c>
      <c r="P20" s="114">
        <v>0</v>
      </c>
      <c r="Q20" s="114">
        <v>0</v>
      </c>
      <c r="R20" s="115">
        <f t="shared" si="0"/>
        <v>5638.2866156309992</v>
      </c>
      <c r="S20" s="116">
        <v>9.9953467724844813E-10</v>
      </c>
      <c r="T20" s="44"/>
      <c r="U20" s="44"/>
      <c r="V20" s="44"/>
      <c r="W20" s="44"/>
      <c r="X20" s="44"/>
      <c r="Y20" s="44"/>
      <c r="Z20" s="44"/>
      <c r="AA20" s="44"/>
      <c r="AB20" s="44"/>
      <c r="AC20" s="44"/>
      <c r="AD20" s="44"/>
      <c r="AE20" s="44"/>
      <c r="AF20" s="44"/>
      <c r="AG20" s="44"/>
      <c r="AH20" s="44"/>
      <c r="AI20" s="44"/>
      <c r="AJ20" s="44"/>
      <c r="AK20" s="44"/>
      <c r="AL20" s="44"/>
      <c r="AM20" s="44"/>
      <c r="AN20" s="44"/>
    </row>
    <row r="21" spans="1:40">
      <c r="A21" s="113" t="s">
        <v>883</v>
      </c>
      <c r="B21" s="114">
        <v>0</v>
      </c>
      <c r="C21" s="114">
        <v>260.63765603800005</v>
      </c>
      <c r="D21" s="114">
        <v>0</v>
      </c>
      <c r="E21" s="114">
        <v>0</v>
      </c>
      <c r="F21" s="114">
        <v>0</v>
      </c>
      <c r="G21" s="114">
        <v>0</v>
      </c>
      <c r="H21" s="114">
        <v>0</v>
      </c>
      <c r="I21" s="114">
        <v>0</v>
      </c>
      <c r="J21" s="114">
        <v>0</v>
      </c>
      <c r="K21" s="114">
        <v>0</v>
      </c>
      <c r="L21" s="114">
        <v>0</v>
      </c>
      <c r="M21" s="114">
        <v>0</v>
      </c>
      <c r="N21" s="114">
        <v>0</v>
      </c>
      <c r="O21" s="114">
        <v>0</v>
      </c>
      <c r="P21" s="114">
        <v>0</v>
      </c>
      <c r="Q21" s="114">
        <v>0</v>
      </c>
      <c r="R21" s="115">
        <f t="shared" si="0"/>
        <v>260.63765603800005</v>
      </c>
      <c r="S21" s="116">
        <v>-1.9999788491986692E-9</v>
      </c>
      <c r="T21" s="44"/>
      <c r="U21" s="44"/>
      <c r="V21" s="44"/>
      <c r="W21" s="44"/>
      <c r="X21" s="44"/>
      <c r="Y21" s="44"/>
      <c r="Z21" s="44"/>
      <c r="AA21" s="44"/>
      <c r="AB21" s="44"/>
      <c r="AC21" s="44"/>
      <c r="AD21" s="44"/>
      <c r="AE21" s="44"/>
      <c r="AF21" s="44"/>
      <c r="AG21" s="44"/>
      <c r="AH21" s="44"/>
      <c r="AI21" s="44"/>
      <c r="AJ21" s="44"/>
      <c r="AK21" s="44"/>
      <c r="AL21" s="44"/>
      <c r="AM21" s="44"/>
      <c r="AN21" s="44"/>
    </row>
    <row r="22" spans="1:40">
      <c r="A22" s="113" t="s">
        <v>16</v>
      </c>
      <c r="B22" s="114">
        <v>1652.288624735</v>
      </c>
      <c r="C22" s="114">
        <v>61840.938600374997</v>
      </c>
      <c r="D22" s="114">
        <v>0</v>
      </c>
      <c r="E22" s="114">
        <v>0</v>
      </c>
      <c r="F22" s="114">
        <v>0</v>
      </c>
      <c r="G22" s="114">
        <v>0</v>
      </c>
      <c r="H22" s="114">
        <v>0</v>
      </c>
      <c r="I22" s="114">
        <v>17672.162479999999</v>
      </c>
      <c r="J22" s="114">
        <v>0</v>
      </c>
      <c r="K22" s="114">
        <v>0</v>
      </c>
      <c r="L22" s="114">
        <v>0</v>
      </c>
      <c r="M22" s="114">
        <v>0</v>
      </c>
      <c r="N22" s="114">
        <v>0</v>
      </c>
      <c r="O22" s="114">
        <v>0</v>
      </c>
      <c r="P22" s="114">
        <v>0</v>
      </c>
      <c r="Q22" s="114">
        <v>143680.27815059602</v>
      </c>
      <c r="R22" s="115">
        <f t="shared" si="0"/>
        <v>224845.66785570601</v>
      </c>
      <c r="S22" s="116">
        <v>0.33877962699625641</v>
      </c>
      <c r="T22" s="44"/>
      <c r="U22" s="44"/>
      <c r="V22" s="44"/>
      <c r="W22" s="44"/>
      <c r="X22" s="44"/>
      <c r="Y22" s="44"/>
      <c r="Z22" s="44"/>
      <c r="AA22" s="44"/>
      <c r="AB22" s="44"/>
      <c r="AC22" s="44"/>
      <c r="AD22" s="44"/>
      <c r="AE22" s="44"/>
      <c r="AF22" s="44"/>
      <c r="AG22" s="44"/>
      <c r="AH22" s="44"/>
      <c r="AI22" s="44"/>
      <c r="AJ22" s="44"/>
      <c r="AK22" s="44"/>
      <c r="AL22" s="44"/>
      <c r="AM22" s="44"/>
      <c r="AN22" s="44"/>
    </row>
    <row r="23" spans="1:40">
      <c r="A23" s="117" t="s">
        <v>652</v>
      </c>
      <c r="B23" s="118">
        <f t="shared" ref="B23:Q23" si="1">SUM(B7:B22)</f>
        <v>18728.238597966458</v>
      </c>
      <c r="C23" s="118">
        <f t="shared" si="1"/>
        <v>305239.55720281799</v>
      </c>
      <c r="D23" s="118">
        <f t="shared" si="1"/>
        <v>30792.058991115002</v>
      </c>
      <c r="E23" s="118">
        <f t="shared" si="1"/>
        <v>66512.846480801003</v>
      </c>
      <c r="F23" s="118">
        <f t="shared" si="1"/>
        <v>1597.7881150000001</v>
      </c>
      <c r="G23" s="118">
        <f t="shared" si="1"/>
        <v>98902.693586916997</v>
      </c>
      <c r="H23" s="118">
        <f t="shared" si="1"/>
        <v>11558.308319182008</v>
      </c>
      <c r="I23" s="118">
        <f t="shared" si="1"/>
        <v>40747.283345360003</v>
      </c>
      <c r="J23" s="118">
        <f t="shared" si="1"/>
        <v>15290.1963</v>
      </c>
      <c r="K23" s="118">
        <f t="shared" si="1"/>
        <v>0</v>
      </c>
      <c r="L23" s="118">
        <f t="shared" si="1"/>
        <v>19.077220847</v>
      </c>
      <c r="M23" s="118">
        <f t="shared" si="1"/>
        <v>9860.4783360580004</v>
      </c>
      <c r="N23" s="118">
        <f t="shared" si="1"/>
        <v>-4220.171312429</v>
      </c>
      <c r="O23" s="118">
        <f t="shared" si="1"/>
        <v>5638.2866156299997</v>
      </c>
      <c r="P23" s="118">
        <f t="shared" si="1"/>
        <v>260.63765604000002</v>
      </c>
      <c r="Q23" s="118">
        <f t="shared" si="1"/>
        <v>224845.32907607901</v>
      </c>
      <c r="R23" s="119"/>
      <c r="S23" s="116"/>
      <c r="T23" s="44"/>
      <c r="U23" s="44"/>
      <c r="V23" s="44"/>
      <c r="W23" s="44"/>
      <c r="X23" s="44"/>
      <c r="Y23" s="44"/>
      <c r="Z23" s="44"/>
      <c r="AA23" s="44"/>
      <c r="AB23" s="44"/>
      <c r="AC23" s="44"/>
      <c r="AD23" s="44"/>
      <c r="AE23" s="44"/>
      <c r="AF23" s="44"/>
      <c r="AG23" s="44"/>
      <c r="AH23" s="44"/>
      <c r="AI23" s="44"/>
      <c r="AJ23" s="44"/>
      <c r="AK23" s="44"/>
      <c r="AL23" s="44"/>
      <c r="AM23" s="44"/>
      <c r="AN23" s="44"/>
    </row>
    <row r="24" spans="1:40">
      <c r="A24" s="120" t="s">
        <v>654</v>
      </c>
      <c r="B24" s="116">
        <f t="array" ref="B24:Q24">B23:Q23-TRANSPOSE(R7:R22)</f>
        <v>-9.7363254462834448E-4</v>
      </c>
      <c r="C24" s="116">
        <v>0.35862846253439784</v>
      </c>
      <c r="D24" s="116">
        <v>0</v>
      </c>
      <c r="E24" s="116">
        <v>1.0040821507573128E-9</v>
      </c>
      <c r="F24" s="116">
        <v>0</v>
      </c>
      <c r="G24" s="116">
        <v>9.8953023552894592E-10</v>
      </c>
      <c r="H24" s="116">
        <v>-1.9696399431268219E-4</v>
      </c>
      <c r="I24" s="116">
        <v>-0.10245464000036009</v>
      </c>
      <c r="J24" s="116">
        <v>0</v>
      </c>
      <c r="K24" s="116">
        <v>0</v>
      </c>
      <c r="L24" s="116">
        <v>8.3776399000015545E-2</v>
      </c>
      <c r="M24" s="116">
        <v>-1.0022631613537669E-9</v>
      </c>
      <c r="N24" s="116">
        <v>0</v>
      </c>
      <c r="O24" s="116">
        <v>-9.9953467724844813E-10</v>
      </c>
      <c r="P24" s="116">
        <v>1.9999788491986692E-9</v>
      </c>
      <c r="Q24" s="116">
        <v>-0.33877962699625641</v>
      </c>
      <c r="R24" s="116"/>
      <c r="S24" s="116"/>
      <c r="T24" s="44"/>
      <c r="U24" s="44"/>
      <c r="V24" s="44"/>
      <c r="W24" s="44"/>
      <c r="X24" s="44"/>
      <c r="Y24" s="44"/>
      <c r="Z24" s="44"/>
      <c r="AA24" s="44"/>
      <c r="AB24" s="44"/>
      <c r="AC24" s="44"/>
      <c r="AD24" s="44"/>
      <c r="AE24" s="44"/>
      <c r="AF24" s="44"/>
      <c r="AG24" s="44"/>
      <c r="AH24" s="44"/>
      <c r="AI24" s="44"/>
      <c r="AJ24" s="44"/>
      <c r="AK24" s="44"/>
      <c r="AL24" s="44"/>
      <c r="AM24" s="44"/>
      <c r="AN24" s="44"/>
    </row>
    <row r="25" spans="1:40">
      <c r="A25" s="44"/>
      <c r="B25" s="106"/>
      <c r="C25" s="106"/>
      <c r="D25" s="106"/>
      <c r="E25" s="106"/>
      <c r="F25" s="106"/>
      <c r="G25" s="106"/>
      <c r="H25" s="106"/>
      <c r="I25" s="106"/>
      <c r="J25" s="106"/>
      <c r="K25" s="106"/>
      <c r="L25" s="106"/>
      <c r="M25" s="106"/>
      <c r="N25" s="106"/>
      <c r="O25" s="106"/>
      <c r="P25" s="106"/>
      <c r="Q25" s="106"/>
      <c r="R25" s="106"/>
      <c r="S25" s="106"/>
      <c r="T25" s="44"/>
      <c r="U25" s="44"/>
      <c r="V25" s="44"/>
      <c r="W25" s="44"/>
      <c r="X25" s="44"/>
      <c r="Y25" s="44"/>
      <c r="Z25" s="44"/>
      <c r="AA25" s="44"/>
      <c r="AB25" s="44"/>
      <c r="AC25" s="44"/>
      <c r="AD25" s="44"/>
      <c r="AE25" s="44"/>
      <c r="AF25" s="44"/>
      <c r="AG25" s="44"/>
      <c r="AH25" s="44"/>
      <c r="AI25" s="44"/>
      <c r="AJ25" s="44"/>
      <c r="AK25" s="44"/>
      <c r="AL25" s="44"/>
    </row>
    <row r="26" spans="1:40" ht="15">
      <c r="A26" s="122" t="str">
        <f>CONCATENATE("Solution SAM: ",C4)</f>
        <v>Solution SAM: Thailand</v>
      </c>
      <c r="B26" s="122"/>
      <c r="C26" s="122"/>
      <c r="D26" s="122"/>
      <c r="E26" s="122"/>
      <c r="F26" s="122"/>
      <c r="G26" s="122"/>
      <c r="H26" s="122"/>
      <c r="I26" s="122"/>
      <c r="J26" s="122"/>
      <c r="K26" s="122"/>
      <c r="L26" s="122"/>
      <c r="M26" s="122"/>
      <c r="N26" s="122"/>
      <c r="O26" s="122"/>
      <c r="P26" s="122"/>
      <c r="Q26" s="108"/>
      <c r="R26" s="106"/>
      <c r="S26" s="106"/>
      <c r="T26" s="44"/>
      <c r="U26" s="44"/>
      <c r="V26" s="44"/>
      <c r="W26" s="44"/>
      <c r="X26" s="44"/>
      <c r="Y26" s="44"/>
      <c r="Z26" s="44"/>
      <c r="AA26" s="44"/>
      <c r="AB26" s="44"/>
      <c r="AC26" s="44"/>
      <c r="AD26" s="44"/>
      <c r="AE26" s="44"/>
      <c r="AF26" s="44"/>
      <c r="AG26" s="44"/>
      <c r="AH26" s="44"/>
      <c r="AI26" s="44"/>
      <c r="AJ26" s="44"/>
      <c r="AK26" s="44"/>
      <c r="AL26" s="44"/>
    </row>
    <row r="27" spans="1:40">
      <c r="A27" s="49"/>
      <c r="B27" s="109" t="str">
        <f>B6</f>
        <v>agr</v>
      </c>
      <c r="C27" s="109" t="str">
        <f t="shared" ref="C27:P27" si="2">C6</f>
        <v>oth</v>
      </c>
      <c r="D27" s="109" t="str">
        <f t="shared" si="2"/>
        <v>lab</v>
      </c>
      <c r="E27" s="109" t="str">
        <f t="shared" si="2"/>
        <v>kap</v>
      </c>
      <c r="F27" s="109" t="str">
        <f t="shared" si="2"/>
        <v>fct</v>
      </c>
      <c r="G27" s="109" t="str">
        <f t="shared" si="2"/>
        <v>hh</v>
      </c>
      <c r="H27" s="109" t="str">
        <f t="shared" si="2"/>
        <v>gov</v>
      </c>
      <c r="I27" s="109" t="str">
        <f t="shared" si="2"/>
        <v>inv</v>
      </c>
      <c r="J27" s="109" t="str">
        <f t="shared" si="2"/>
        <v>depr</v>
      </c>
      <c r="K27" s="109" t="str">
        <f t="shared" si="2"/>
        <v>marg</v>
      </c>
      <c r="L27" s="109" t="str">
        <f t="shared" si="2"/>
        <v>indtx</v>
      </c>
      <c r="M27" s="109" t="str">
        <f t="shared" si="2"/>
        <v>prdtx</v>
      </c>
      <c r="N27" s="109" t="str">
        <f t="shared" si="2"/>
        <v>dirtx</v>
      </c>
      <c r="O27" s="109" t="str">
        <f t="shared" si="2"/>
        <v>imptx</v>
      </c>
      <c r="P27" s="109" t="str">
        <f t="shared" si="2"/>
        <v>exptx</v>
      </c>
      <c r="Q27" s="109" t="str">
        <f>Q6</f>
        <v>row</v>
      </c>
      <c r="R27" s="110" t="str">
        <f>R6</f>
        <v>Total</v>
      </c>
      <c r="S27" s="111" t="str">
        <f>S6</f>
        <v>Residual</v>
      </c>
      <c r="T27" s="44"/>
      <c r="U27" s="44"/>
      <c r="V27" s="44"/>
      <c r="W27" s="44"/>
      <c r="X27" s="44"/>
      <c r="Y27" s="44"/>
      <c r="Z27" s="44"/>
      <c r="AA27" s="44"/>
      <c r="AB27" s="44"/>
      <c r="AC27" s="44"/>
      <c r="AD27" s="44"/>
      <c r="AE27" s="44"/>
      <c r="AF27" s="44"/>
      <c r="AG27" s="44"/>
      <c r="AH27" s="44"/>
      <c r="AI27" s="44"/>
      <c r="AJ27" s="44"/>
      <c r="AK27" s="44"/>
      <c r="AL27" s="44"/>
      <c r="AM27" s="44"/>
      <c r="AN27" s="44"/>
    </row>
    <row r="28" spans="1:40">
      <c r="A28" s="113" t="str">
        <f>A7</f>
        <v>agr</v>
      </c>
      <c r="B28" s="114">
        <f>pa_a*xap_aa/scale</f>
        <v>665.16760308399989</v>
      </c>
      <c r="C28" s="114">
        <f>pa_a*xap_ao/scale</f>
        <v>12156.791332244002</v>
      </c>
      <c r="D28" s="114"/>
      <c r="E28" s="114"/>
      <c r="F28" s="114"/>
      <c r="G28" s="114">
        <f>pa_a*xac_a/scale</f>
        <v>3080.1355777749995</v>
      </c>
      <c r="H28" s="114">
        <f>pa_a*xag_a/scale</f>
        <v>6.2288700000000014E-4</v>
      </c>
      <c r="I28" s="114">
        <f>pa_a*xai_a/scale</f>
        <v>58.570509595000004</v>
      </c>
      <c r="J28" s="114"/>
      <c r="K28" s="114"/>
      <c r="L28" s="114"/>
      <c r="M28" s="114"/>
      <c r="N28" s="114"/>
      <c r="O28" s="114"/>
      <c r="P28" s="114"/>
      <c r="Q28" s="114">
        <f>ed_a*wpe_a*er*Q7/(Q7+M7)/scale</f>
        <v>2767.5739260140003</v>
      </c>
      <c r="R28" s="115">
        <f t="shared" ref="R28:R33" si="3">SUM(B28:Q28)</f>
        <v>18728.239571599002</v>
      </c>
      <c r="S28" s="116">
        <f t="array" ref="S28:S43">R28:R43-TRANSPOSE(B44:Q44)</f>
        <v>9.7363254462834448E-4</v>
      </c>
      <c r="T28" s="44"/>
      <c r="U28" s="44"/>
      <c r="V28" s="44"/>
      <c r="W28" s="44"/>
      <c r="X28" s="44"/>
      <c r="Y28" s="44"/>
      <c r="Z28" s="44"/>
      <c r="AA28" s="44"/>
      <c r="AB28" s="44"/>
      <c r="AC28" s="44"/>
      <c r="AD28" s="44"/>
      <c r="AE28" s="44"/>
      <c r="AF28" s="44"/>
      <c r="AG28" s="44"/>
      <c r="AH28" s="44"/>
      <c r="AI28" s="44"/>
      <c r="AJ28" s="44"/>
      <c r="AK28" s="44"/>
      <c r="AL28" s="44"/>
      <c r="AM28" s="44"/>
      <c r="AN28" s="44"/>
    </row>
    <row r="29" spans="1:40">
      <c r="A29" s="113" t="str">
        <f>A8</f>
        <v>oth</v>
      </c>
      <c r="B29" s="114">
        <f>pa_o*xap_oa/scale</f>
        <v>4709.7618488514572</v>
      </c>
      <c r="C29" s="114">
        <f>pa_o*xap_oo/scale</f>
        <v>128243.83430930001</v>
      </c>
      <c r="D29" s="114"/>
      <c r="E29" s="114"/>
      <c r="F29" s="114"/>
      <c r="G29" s="114">
        <f>pa_o*xac_o/scale</f>
        <v>59313.267364675005</v>
      </c>
      <c r="H29" s="114">
        <f>pa_o*xag_o/scale</f>
        <v>11558.307696295007</v>
      </c>
      <c r="I29" s="114">
        <f>pa_o*xai_o/scale</f>
        <v>23016.550355765004</v>
      </c>
      <c r="J29" s="114"/>
      <c r="K29" s="114"/>
      <c r="L29" s="114"/>
      <c r="M29" s="114"/>
      <c r="N29" s="114"/>
      <c r="O29" s="114"/>
      <c r="P29" s="114"/>
      <c r="Q29" s="114">
        <f>ed_o*wpe_o*er*Q8/(Q8+M8)/scale</f>
        <v>78397.476999468985</v>
      </c>
      <c r="R29" s="115">
        <f t="shared" si="3"/>
        <v>305239.19857435545</v>
      </c>
      <c r="S29" s="116">
        <v>-0.35862846253439784</v>
      </c>
      <c r="T29" s="44"/>
      <c r="U29" s="44"/>
      <c r="V29" s="44"/>
      <c r="W29" s="44"/>
      <c r="X29" s="44"/>
      <c r="Y29" s="44"/>
      <c r="Z29" s="44"/>
      <c r="AA29" s="44"/>
      <c r="AB29" s="44"/>
      <c r="AC29" s="44"/>
      <c r="AD29" s="44"/>
      <c r="AE29" s="44"/>
      <c r="AF29" s="44"/>
      <c r="AG29" s="44"/>
      <c r="AH29" s="44"/>
      <c r="AI29" s="44"/>
      <c r="AJ29" s="44"/>
      <c r="AK29" s="44"/>
      <c r="AL29" s="44"/>
      <c r="AM29" s="44"/>
      <c r="AN29" s="44"/>
    </row>
    <row r="30" spans="1:40">
      <c r="A30" s="113" t="str">
        <f t="shared" ref="A30:A43" si="4">A9</f>
        <v>lab</v>
      </c>
      <c r="B30" s="114">
        <f>wage*ld_a/scale</f>
        <v>4306.2764146449999</v>
      </c>
      <c r="C30" s="114">
        <f>wage*ld_o/scale</f>
        <v>26485.782576470003</v>
      </c>
      <c r="D30" s="114"/>
      <c r="E30" s="114"/>
      <c r="F30" s="114"/>
      <c r="G30" s="114"/>
      <c r="H30" s="114"/>
      <c r="I30" s="114"/>
      <c r="J30" s="114"/>
      <c r="K30" s="114"/>
      <c r="L30" s="114"/>
      <c r="M30" s="114"/>
      <c r="N30" s="114"/>
      <c r="O30" s="114"/>
      <c r="P30" s="114"/>
      <c r="Q30" s="114"/>
      <c r="R30" s="115">
        <f t="shared" si="3"/>
        <v>30792.058991115002</v>
      </c>
      <c r="S30" s="116">
        <v>0</v>
      </c>
      <c r="T30" s="44"/>
      <c r="U30" s="44"/>
      <c r="V30" s="44"/>
      <c r="W30" s="44"/>
      <c r="X30" s="44"/>
      <c r="Y30" s="44"/>
      <c r="Z30" s="44"/>
      <c r="AA30" s="44"/>
      <c r="AB30" s="44"/>
      <c r="AC30" s="44"/>
      <c r="AD30" s="44"/>
      <c r="AE30" s="44"/>
      <c r="AF30" s="44"/>
      <c r="AG30" s="44"/>
      <c r="AH30" s="44"/>
      <c r="AI30" s="44"/>
      <c r="AJ30" s="44"/>
      <c r="AK30" s="44"/>
      <c r="AL30" s="44"/>
      <c r="AM30" s="44"/>
      <c r="AN30" s="44"/>
    </row>
    <row r="31" spans="1:40">
      <c r="A31" s="113" t="str">
        <f t="shared" si="4"/>
        <v>kap</v>
      </c>
      <c r="B31" s="114">
        <f>rent_a*kd_a/scale</f>
        <v>5775.2975462000013</v>
      </c>
      <c r="C31" s="114">
        <f>rent_o*kd_o/scale</f>
        <v>60737.548934599996</v>
      </c>
      <c r="D31" s="114"/>
      <c r="E31" s="114"/>
      <c r="F31" s="114"/>
      <c r="G31" s="114"/>
      <c r="H31" s="114"/>
      <c r="I31" s="114"/>
      <c r="J31" s="114"/>
      <c r="K31" s="114"/>
      <c r="L31" s="114"/>
      <c r="M31" s="114"/>
      <c r="N31" s="114"/>
      <c r="O31" s="114"/>
      <c r="P31" s="114"/>
      <c r="Q31" s="114"/>
      <c r="R31" s="115">
        <f t="shared" si="3"/>
        <v>66512.846480799999</v>
      </c>
      <c r="S31" s="116">
        <v>0</v>
      </c>
      <c r="T31" s="44"/>
      <c r="U31" s="44"/>
      <c r="V31" s="44"/>
      <c r="W31" s="44"/>
      <c r="X31" s="44"/>
      <c r="Y31" s="44"/>
      <c r="Z31" s="44"/>
      <c r="AA31" s="44"/>
      <c r="AB31" s="44"/>
      <c r="AC31" s="44"/>
      <c r="AD31" s="44"/>
      <c r="AE31" s="44"/>
      <c r="AF31" s="44"/>
      <c r="AG31" s="44"/>
      <c r="AH31" s="44"/>
      <c r="AI31" s="44"/>
      <c r="AJ31" s="44"/>
      <c r="AK31" s="44"/>
      <c r="AL31" s="44"/>
      <c r="AM31" s="44"/>
      <c r="AN31" s="44"/>
    </row>
    <row r="32" spans="1:40">
      <c r="A32" s="113" t="str">
        <f t="shared" si="4"/>
        <v>fct</v>
      </c>
      <c r="B32" s="114">
        <f>fd_a*pf_a/scale</f>
        <v>1374.2495100000001</v>
      </c>
      <c r="C32" s="114">
        <f>fd_o*pf_o/scale</f>
        <v>223.53860499999999</v>
      </c>
      <c r="D32" s="114"/>
      <c r="E32" s="114"/>
      <c r="F32" s="114"/>
      <c r="G32" s="114"/>
      <c r="H32" s="114"/>
      <c r="I32" s="114"/>
      <c r="J32" s="114"/>
      <c r="K32" s="114"/>
      <c r="L32" s="114"/>
      <c r="M32" s="114"/>
      <c r="N32" s="114"/>
      <c r="O32" s="114"/>
      <c r="P32" s="114"/>
      <c r="Q32" s="114"/>
      <c r="R32" s="115">
        <f t="shared" si="3"/>
        <v>1597.7881150000001</v>
      </c>
      <c r="S32" s="116">
        <v>0</v>
      </c>
      <c r="T32" s="44"/>
      <c r="U32" s="44"/>
      <c r="V32" s="44"/>
      <c r="W32" s="44"/>
      <c r="X32" s="44"/>
      <c r="Y32" s="44"/>
      <c r="Z32" s="44"/>
      <c r="AA32" s="44"/>
      <c r="AB32" s="44"/>
      <c r="AC32" s="44"/>
      <c r="AD32" s="44"/>
      <c r="AE32" s="44"/>
      <c r="AF32" s="44"/>
      <c r="AG32" s="44"/>
      <c r="AH32" s="44"/>
      <c r="AI32" s="44"/>
      <c r="AJ32" s="44"/>
      <c r="AK32" s="44"/>
      <c r="AL32" s="44"/>
      <c r="AM32" s="44"/>
      <c r="AN32" s="44"/>
    </row>
    <row r="33" spans="1:40">
      <c r="A33" s="113" t="str">
        <f t="shared" si="4"/>
        <v>hh</v>
      </c>
      <c r="B33" s="114"/>
      <c r="C33" s="114"/>
      <c r="D33" s="114">
        <f>B30+C30</f>
        <v>30792.058991115002</v>
      </c>
      <c r="E33" s="114">
        <f>B31+C31</f>
        <v>66512.846480799999</v>
      </c>
      <c r="F33" s="114">
        <f>B32+C32</f>
        <v>1597.7881150000001</v>
      </c>
      <c r="G33" s="114"/>
      <c r="H33" s="114"/>
      <c r="I33" s="114"/>
      <c r="J33" s="114"/>
      <c r="K33" s="114"/>
      <c r="L33" s="114"/>
      <c r="M33" s="114"/>
      <c r="N33" s="114"/>
      <c r="O33" s="114"/>
      <c r="P33" s="114"/>
      <c r="Q33" s="114"/>
      <c r="R33" s="115">
        <f t="shared" si="3"/>
        <v>98902.693586915004</v>
      </c>
      <c r="S33" s="116">
        <v>-1.9936123862862587E-9</v>
      </c>
      <c r="T33" s="44"/>
      <c r="U33" s="44"/>
      <c r="V33" s="44"/>
      <c r="W33" s="44"/>
      <c r="X33" s="44"/>
      <c r="Y33" s="44"/>
      <c r="Z33" s="44"/>
      <c r="AA33" s="44"/>
      <c r="AB33" s="44"/>
      <c r="AC33" s="44"/>
      <c r="AD33" s="44"/>
      <c r="AE33" s="44"/>
      <c r="AF33" s="44"/>
      <c r="AG33" s="44"/>
      <c r="AH33" s="44"/>
      <c r="AI33" s="44"/>
      <c r="AJ33" s="44"/>
      <c r="AK33" s="44"/>
      <c r="AL33" s="44"/>
      <c r="AM33" s="44"/>
      <c r="AN33" s="44"/>
    </row>
    <row r="34" spans="1:40">
      <c r="A34" s="113" t="str">
        <f t="shared" si="4"/>
        <v>gov</v>
      </c>
      <c r="B34" s="114"/>
      <c r="C34" s="114"/>
      <c r="D34" s="114"/>
      <c r="E34" s="114"/>
      <c r="F34" s="114"/>
      <c r="G34" s="114"/>
      <c r="H34" s="114"/>
      <c r="I34" s="114"/>
      <c r="J34" s="114"/>
      <c r="K34" s="114"/>
      <c r="L34" s="114">
        <f>SUM(B38:C38,G38:I38)</f>
        <v>18.993444447999984</v>
      </c>
      <c r="M34" s="114">
        <f>SUM(B39:C39)</f>
        <v>9860.4783360589681</v>
      </c>
      <c r="N34" s="114">
        <f>SUM(G40)</f>
        <v>-4220.171312429</v>
      </c>
      <c r="O34" s="114">
        <f>SUM(B41:C41)</f>
        <v>5638.2866156309992</v>
      </c>
      <c r="P34" s="114">
        <f>SUM(B42:C42)</f>
        <v>260.63765603800005</v>
      </c>
      <c r="Q34" s="114"/>
      <c r="R34" s="115">
        <f t="shared" ref="R34:R42" si="5">SUM(B34:Q34)</f>
        <v>11558.224739746967</v>
      </c>
      <c r="S34" s="116">
        <v>-1.8189894035458565E-12</v>
      </c>
      <c r="T34" s="44"/>
      <c r="U34" s="44"/>
      <c r="V34" s="44"/>
      <c r="W34" s="44"/>
      <c r="X34" s="44"/>
      <c r="Y34" s="44"/>
      <c r="Z34" s="44"/>
      <c r="AA34" s="44"/>
      <c r="AB34" s="44"/>
      <c r="AC34" s="44"/>
      <c r="AD34" s="44"/>
      <c r="AE34" s="44"/>
      <c r="AF34" s="44"/>
      <c r="AG34" s="44"/>
      <c r="AH34" s="44"/>
      <c r="AI34" s="44"/>
      <c r="AJ34" s="44"/>
      <c r="AK34" s="44"/>
      <c r="AL34" s="44"/>
      <c r="AM34" s="44"/>
      <c r="AN34" s="44"/>
    </row>
    <row r="35" spans="1:40">
      <c r="A35" s="113" t="str">
        <f t="shared" si="4"/>
        <v>inv</v>
      </c>
      <c r="B35" s="114"/>
      <c r="C35" s="114"/>
      <c r="D35" s="114"/>
      <c r="E35" s="114"/>
      <c r="F35" s="114"/>
      <c r="G35" s="114">
        <f>savh/scale</f>
        <v>25457.1895</v>
      </c>
      <c r="H35" s="114">
        <f>savg/scale</f>
        <v>-8.3579435038700467E-2</v>
      </c>
      <c r="I35" s="114"/>
      <c r="J35" s="114">
        <f>deprY/scale</f>
        <v>15290.1963</v>
      </c>
      <c r="K35" s="114"/>
      <c r="L35" s="114"/>
      <c r="M35" s="114"/>
      <c r="N35" s="114"/>
      <c r="O35" s="114"/>
      <c r="P35" s="114"/>
      <c r="Q35" s="114"/>
      <c r="R35" s="115">
        <f t="shared" si="5"/>
        <v>40747.302220564961</v>
      </c>
      <c r="S35" s="116">
        <v>1.8875204958021641E-2</v>
      </c>
      <c r="T35" s="44"/>
      <c r="U35" s="44"/>
      <c r="V35" s="44"/>
      <c r="W35" s="44"/>
      <c r="X35" s="44"/>
      <c r="Y35" s="44"/>
      <c r="Z35" s="44"/>
      <c r="AA35" s="44"/>
      <c r="AB35" s="44"/>
      <c r="AC35" s="44"/>
      <c r="AD35" s="44"/>
      <c r="AE35" s="44"/>
      <c r="AF35" s="44"/>
      <c r="AG35" s="44"/>
      <c r="AH35" s="44"/>
      <c r="AI35" s="44"/>
      <c r="AJ35" s="44"/>
      <c r="AK35" s="44"/>
      <c r="AL35" s="44"/>
      <c r="AM35" s="44"/>
      <c r="AN35" s="44"/>
    </row>
    <row r="36" spans="1:40">
      <c r="A36" s="113" t="str">
        <f t="shared" si="4"/>
        <v>depr</v>
      </c>
      <c r="B36" s="114"/>
      <c r="C36" s="114"/>
      <c r="D36" s="114"/>
      <c r="E36" s="114"/>
      <c r="F36" s="114"/>
      <c r="G36" s="114">
        <f>deprY/scale</f>
        <v>15290.1963</v>
      </c>
      <c r="H36" s="114"/>
      <c r="I36" s="114"/>
      <c r="J36" s="114"/>
      <c r="K36" s="114"/>
      <c r="L36" s="114"/>
      <c r="M36" s="114"/>
      <c r="N36" s="114"/>
      <c r="O36" s="114"/>
      <c r="P36" s="114"/>
      <c r="Q36" s="114"/>
      <c r="R36" s="115">
        <f t="shared" si="5"/>
        <v>15290.1963</v>
      </c>
      <c r="S36" s="116">
        <v>0</v>
      </c>
      <c r="T36" s="44"/>
      <c r="U36" s="44"/>
      <c r="V36" s="44"/>
      <c r="W36" s="44"/>
      <c r="X36" s="44"/>
      <c r="Y36" s="44"/>
      <c r="Z36" s="44"/>
      <c r="AA36" s="44"/>
      <c r="AB36" s="44"/>
      <c r="AC36" s="44"/>
      <c r="AD36" s="44"/>
      <c r="AE36" s="44"/>
      <c r="AF36" s="44"/>
      <c r="AG36" s="44"/>
      <c r="AH36" s="44"/>
      <c r="AI36" s="44"/>
      <c r="AJ36" s="44"/>
      <c r="AK36" s="44"/>
      <c r="AL36" s="44"/>
      <c r="AM36" s="44"/>
      <c r="AN36" s="44"/>
    </row>
    <row r="37" spans="1:40">
      <c r="A37" s="113" t="str">
        <f t="shared" si="4"/>
        <v>marg</v>
      </c>
      <c r="B37" s="114"/>
      <c r="C37" s="114"/>
      <c r="D37" s="114"/>
      <c r="E37" s="114"/>
      <c r="F37" s="114"/>
      <c r="G37" s="114"/>
      <c r="H37" s="114"/>
      <c r="I37" s="114"/>
      <c r="J37" s="114">
        <f>pindex*gtrh/scale</f>
        <v>0</v>
      </c>
      <c r="K37" s="114"/>
      <c r="L37" s="114"/>
      <c r="M37" s="114"/>
      <c r="N37" s="114"/>
      <c r="O37" s="114"/>
      <c r="P37" s="114"/>
      <c r="Q37" s="114"/>
      <c r="R37" s="115">
        <f t="shared" si="5"/>
        <v>0</v>
      </c>
      <c r="S37" s="116">
        <v>0</v>
      </c>
      <c r="T37" s="44"/>
      <c r="U37" s="44"/>
      <c r="V37" s="44"/>
      <c r="W37" s="44"/>
      <c r="X37" s="44"/>
      <c r="Y37" s="44"/>
      <c r="Z37" s="44"/>
      <c r="AA37" s="44"/>
      <c r="AB37" s="44"/>
      <c r="AC37" s="44"/>
      <c r="AD37" s="44"/>
      <c r="AE37" s="44"/>
      <c r="AF37" s="44"/>
      <c r="AG37" s="44"/>
      <c r="AH37" s="44"/>
      <c r="AI37" s="44"/>
      <c r="AJ37" s="44"/>
      <c r="AK37" s="44"/>
      <c r="AL37" s="44"/>
      <c r="AM37" s="44"/>
      <c r="AN37" s="44"/>
    </row>
    <row r="38" spans="1:40">
      <c r="A38" s="113" t="str">
        <f t="shared" si="4"/>
        <v>indtx</v>
      </c>
      <c r="B38" s="114">
        <f>(itp_aa*pa_a*xap_aa+itp_oa*pa_o*xap_oa)/scale</f>
        <v>-1.5845563999999999E-2</v>
      </c>
      <c r="C38" s="114">
        <f>(itp_ao*pa_a*xap_ao+itp_oo*pa_o*xap_oo)/scale</f>
        <v>36.933133115999986</v>
      </c>
      <c r="D38" s="114"/>
      <c r="E38" s="114"/>
      <c r="F38" s="114"/>
      <c r="G38" s="114">
        <f>(itc_a*pa_a*xac_a+itc_o*pa_o*xac_o)/scale</f>
        <v>-17.923843103999999</v>
      </c>
      <c r="H38" s="114">
        <f>(itg_a*pa_a*xag_a+itg_o*pa_o*xag_o)/scale</f>
        <v>0</v>
      </c>
      <c r="I38" s="114">
        <f>(iti_a*pa_a*xai_a+iti_o*pa_o*xai_o)/scale</f>
        <v>0</v>
      </c>
      <c r="J38" s="114"/>
      <c r="K38" s="114"/>
      <c r="L38" s="114"/>
      <c r="M38" s="114"/>
      <c r="N38" s="114"/>
      <c r="O38" s="114"/>
      <c r="P38" s="114"/>
      <c r="Q38" s="114"/>
      <c r="R38" s="115">
        <f t="shared" si="5"/>
        <v>18.993444447999984</v>
      </c>
      <c r="S38" s="116">
        <v>0</v>
      </c>
      <c r="T38" s="44"/>
      <c r="U38" s="44"/>
      <c r="V38" s="44"/>
      <c r="W38" s="44"/>
      <c r="X38" s="44"/>
      <c r="Y38" s="44"/>
      <c r="Z38" s="44"/>
      <c r="AA38" s="44"/>
      <c r="AB38" s="44"/>
      <c r="AC38" s="44"/>
      <c r="AD38" s="44"/>
      <c r="AE38" s="44"/>
      <c r="AF38" s="44"/>
      <c r="AG38" s="44"/>
      <c r="AH38" s="44"/>
      <c r="AI38" s="44"/>
      <c r="AJ38" s="44"/>
      <c r="AK38" s="44"/>
      <c r="AL38" s="44"/>
      <c r="AM38" s="44"/>
      <c r="AN38" s="44"/>
    </row>
    <row r="39" spans="1:40">
      <c r="A39" s="113" t="str">
        <f t="shared" si="4"/>
        <v>prdtx</v>
      </c>
      <c r="B39" s="114">
        <f>tp_a*px_a*xp_a/scale</f>
        <v>25.504708168999827</v>
      </c>
      <c r="C39" s="114">
        <f>tp_o*px_o*xp_o/scale</f>
        <v>9834.9736278899691</v>
      </c>
      <c r="D39" s="114"/>
      <c r="E39" s="114"/>
      <c r="F39" s="114"/>
      <c r="G39" s="114"/>
      <c r="H39" s="114"/>
      <c r="I39" s="114"/>
      <c r="J39" s="114">
        <f>IF(savg&gt;0,savg/scale,0)</f>
        <v>0</v>
      </c>
      <c r="K39" s="114"/>
      <c r="L39" s="114"/>
      <c r="M39" s="114"/>
      <c r="N39" s="114"/>
      <c r="O39" s="114"/>
      <c r="P39" s="114"/>
      <c r="Q39" s="114"/>
      <c r="R39" s="115">
        <f t="shared" si="5"/>
        <v>9860.4783360589681</v>
      </c>
      <c r="S39" s="116">
        <v>0</v>
      </c>
      <c r="T39" s="44"/>
      <c r="U39" s="44"/>
      <c r="V39" s="44"/>
      <c r="W39" s="44"/>
      <c r="X39" s="44"/>
      <c r="Y39" s="44"/>
      <c r="Z39" s="44"/>
      <c r="AA39" s="44"/>
      <c r="AB39" s="44"/>
      <c r="AC39" s="44"/>
      <c r="AD39" s="44"/>
      <c r="AE39" s="44"/>
      <c r="AF39" s="44"/>
      <c r="AG39" s="44"/>
      <c r="AH39" s="44"/>
      <c r="AI39" s="44"/>
      <c r="AJ39" s="44"/>
      <c r="AK39" s="44"/>
      <c r="AL39" s="44"/>
      <c r="AM39" s="44"/>
      <c r="AN39" s="44"/>
    </row>
    <row r="40" spans="1:40">
      <c r="A40" s="113" t="str">
        <f t="shared" si="4"/>
        <v>dirtx</v>
      </c>
      <c r="B40" s="114"/>
      <c r="C40" s="114"/>
      <c r="D40" s="114"/>
      <c r="E40" s="114"/>
      <c r="F40" s="114"/>
      <c r="G40" s="114">
        <f>kappa*yh/scale</f>
        <v>-4220.171312429</v>
      </c>
      <c r="H40" s="114"/>
      <c r="I40" s="114"/>
      <c r="J40" s="114"/>
      <c r="K40" s="114"/>
      <c r="L40" s="114"/>
      <c r="M40" s="114"/>
      <c r="N40" s="114"/>
      <c r="O40" s="114"/>
      <c r="P40" s="114"/>
      <c r="Q40" s="114"/>
      <c r="R40" s="115">
        <f t="shared" si="5"/>
        <v>-4220.171312429</v>
      </c>
      <c r="S40" s="116">
        <v>0</v>
      </c>
      <c r="T40" s="44"/>
      <c r="U40" s="44"/>
      <c r="V40" s="44"/>
      <c r="W40" s="44"/>
      <c r="X40" s="44"/>
      <c r="Y40" s="44"/>
      <c r="Z40" s="44"/>
      <c r="AA40" s="44"/>
      <c r="AB40" s="44"/>
      <c r="AC40" s="44"/>
      <c r="AD40" s="44"/>
      <c r="AE40" s="44"/>
      <c r="AF40" s="44"/>
      <c r="AG40" s="44"/>
      <c r="AH40" s="44"/>
      <c r="AI40" s="44"/>
      <c r="AJ40" s="44"/>
      <c r="AK40" s="44"/>
      <c r="AL40" s="44"/>
      <c r="AM40" s="44"/>
      <c r="AN40" s="44"/>
    </row>
    <row r="41" spans="1:40">
      <c r="A41" s="113" t="str">
        <f t="shared" si="4"/>
        <v>imptx</v>
      </c>
      <c r="B41" s="114">
        <f>er*tm_a*wpm_a*xm_a/scale</f>
        <v>219.70818784600002</v>
      </c>
      <c r="C41" s="114">
        <f>er*tm_o*wpm_o*xm_o/scale</f>
        <v>5418.5784277849989</v>
      </c>
      <c r="D41" s="114"/>
      <c r="E41" s="114"/>
      <c r="F41" s="114"/>
      <c r="G41" s="114"/>
      <c r="H41" s="114"/>
      <c r="I41" s="114"/>
      <c r="J41" s="114"/>
      <c r="K41" s="114"/>
      <c r="L41" s="114"/>
      <c r="M41" s="114"/>
      <c r="N41" s="114"/>
      <c r="O41" s="114"/>
      <c r="P41" s="114"/>
      <c r="Q41" s="114"/>
      <c r="R41" s="115">
        <f t="shared" si="5"/>
        <v>5638.2866156309992</v>
      </c>
      <c r="S41" s="116">
        <v>0</v>
      </c>
      <c r="T41" s="44"/>
      <c r="U41" s="44"/>
      <c r="V41" s="44"/>
      <c r="W41" s="44"/>
      <c r="X41" s="44"/>
      <c r="Y41" s="44"/>
      <c r="Z41" s="44"/>
      <c r="AA41" s="44"/>
      <c r="AB41" s="44"/>
      <c r="AC41" s="44"/>
      <c r="AD41" s="44"/>
      <c r="AE41" s="44"/>
      <c r="AF41" s="44"/>
      <c r="AG41" s="44"/>
      <c r="AH41" s="44"/>
      <c r="AI41" s="44"/>
      <c r="AJ41" s="44"/>
      <c r="AK41" s="44"/>
      <c r="AL41" s="44"/>
      <c r="AM41" s="44"/>
      <c r="AN41" s="44"/>
    </row>
    <row r="42" spans="1:40">
      <c r="A42" s="113" t="str">
        <f t="shared" si="4"/>
        <v>exptx</v>
      </c>
      <c r="B42" s="114">
        <f>te_a*pe_a*es_a/scale</f>
        <v>0</v>
      </c>
      <c r="C42" s="114">
        <f>te_o*pe_o*es_o/scale</f>
        <v>260.63765603800005</v>
      </c>
      <c r="D42" s="114"/>
      <c r="E42" s="114"/>
      <c r="F42" s="114"/>
      <c r="G42" s="114"/>
      <c r="H42" s="114"/>
      <c r="I42" s="114"/>
      <c r="J42" s="114"/>
      <c r="K42" s="114"/>
      <c r="L42" s="114"/>
      <c r="M42" s="114"/>
      <c r="N42" s="114"/>
      <c r="O42" s="114"/>
      <c r="P42" s="114"/>
      <c r="Q42" s="114"/>
      <c r="R42" s="115">
        <f t="shared" si="5"/>
        <v>260.63765603800005</v>
      </c>
      <c r="S42" s="116">
        <v>0</v>
      </c>
      <c r="T42" s="44"/>
      <c r="U42" s="44"/>
      <c r="V42" s="44"/>
      <c r="W42" s="44"/>
      <c r="X42" s="44"/>
      <c r="Y42" s="44"/>
      <c r="Z42" s="44"/>
      <c r="AA42" s="44"/>
      <c r="AB42" s="44"/>
      <c r="AC42" s="44"/>
      <c r="AD42" s="44"/>
      <c r="AE42" s="44"/>
      <c r="AF42" s="44"/>
      <c r="AG42" s="44"/>
      <c r="AH42" s="44"/>
      <c r="AI42" s="44"/>
      <c r="AJ42" s="44"/>
      <c r="AK42" s="44"/>
      <c r="AL42" s="44"/>
      <c r="AM42" s="44"/>
      <c r="AN42" s="44"/>
    </row>
    <row r="43" spans="1:40">
      <c r="A43" s="113" t="str">
        <f t="shared" si="4"/>
        <v>row</v>
      </c>
      <c r="B43" s="114">
        <f>er*wpm_a*xm_a/scale</f>
        <v>1652.288624735</v>
      </c>
      <c r="C43" s="114">
        <f>er*wpm_o*xm_o/scale</f>
        <v>61840.938600374997</v>
      </c>
      <c r="D43" s="114"/>
      <c r="E43" s="114"/>
      <c r="F43" s="114"/>
      <c r="G43" s="114"/>
      <c r="H43" s="114"/>
      <c r="I43" s="114">
        <f>-er*savf/scale</f>
        <v>17672.162479999999</v>
      </c>
      <c r="J43" s="114"/>
      <c r="K43" s="114"/>
      <c r="L43" s="114"/>
      <c r="M43" s="114"/>
      <c r="N43" s="114"/>
      <c r="O43" s="114"/>
      <c r="P43" s="114"/>
      <c r="Q43" s="114">
        <f>I43</f>
        <v>17672.162479999999</v>
      </c>
      <c r="R43" s="115">
        <f>SUM(B43:Q43)</f>
        <v>98837.552185109991</v>
      </c>
      <c r="S43" s="116">
        <v>0.33877962701080833</v>
      </c>
      <c r="T43" s="44"/>
      <c r="U43" s="44"/>
      <c r="V43" s="44"/>
      <c r="W43" s="44"/>
      <c r="X43" s="44"/>
      <c r="Y43" s="44"/>
      <c r="Z43" s="44"/>
      <c r="AA43" s="44"/>
      <c r="AB43" s="44"/>
      <c r="AC43" s="44"/>
      <c r="AD43" s="44"/>
      <c r="AE43" s="44"/>
      <c r="AF43" s="44"/>
      <c r="AG43" s="44"/>
      <c r="AH43" s="44"/>
      <c r="AI43" s="44"/>
      <c r="AJ43" s="44"/>
      <c r="AK43" s="44"/>
      <c r="AL43" s="44"/>
      <c r="AM43" s="44"/>
      <c r="AN43" s="44"/>
    </row>
    <row r="44" spans="1:40">
      <c r="A44" s="117" t="str">
        <f>A23</f>
        <v>Total</v>
      </c>
      <c r="B44" s="118">
        <f>SUM(B28:B43)</f>
        <v>18728.238597966458</v>
      </c>
      <c r="C44" s="118">
        <f t="shared" ref="C44:P44" si="6">SUM(C28:C43)</f>
        <v>305239.55720281799</v>
      </c>
      <c r="D44" s="118">
        <f t="shared" si="6"/>
        <v>30792.058991115002</v>
      </c>
      <c r="E44" s="118">
        <f t="shared" si="6"/>
        <v>66512.846480799999</v>
      </c>
      <c r="F44" s="118">
        <f t="shared" si="6"/>
        <v>1597.7881150000001</v>
      </c>
      <c r="G44" s="118">
        <f t="shared" si="6"/>
        <v>98902.693586916997</v>
      </c>
      <c r="H44" s="118">
        <f t="shared" si="6"/>
        <v>11558.224739746969</v>
      </c>
      <c r="I44" s="118">
        <f t="shared" si="6"/>
        <v>40747.283345360003</v>
      </c>
      <c r="J44" s="118">
        <f t="shared" si="6"/>
        <v>15290.1963</v>
      </c>
      <c r="K44" s="118">
        <f t="shared" si="6"/>
        <v>0</v>
      </c>
      <c r="L44" s="118">
        <f t="shared" si="6"/>
        <v>18.993444447999984</v>
      </c>
      <c r="M44" s="118">
        <f t="shared" si="6"/>
        <v>9860.4783360589681</v>
      </c>
      <c r="N44" s="118">
        <f t="shared" si="6"/>
        <v>-4220.171312429</v>
      </c>
      <c r="O44" s="118">
        <f t="shared" si="6"/>
        <v>5638.2866156309992</v>
      </c>
      <c r="P44" s="118">
        <f t="shared" si="6"/>
        <v>260.63765603800005</v>
      </c>
      <c r="Q44" s="118">
        <f>SUM(Q28:Q43)</f>
        <v>98837.21340548298</v>
      </c>
      <c r="R44" s="119"/>
      <c r="S44" s="116"/>
      <c r="T44" s="44"/>
      <c r="U44" s="44"/>
      <c r="V44" s="44"/>
      <c r="W44" s="44"/>
      <c r="X44" s="44"/>
      <c r="Y44" s="44"/>
      <c r="Z44" s="44"/>
      <c r="AA44" s="44"/>
      <c r="AB44" s="44"/>
      <c r="AC44" s="44"/>
      <c r="AD44" s="44"/>
      <c r="AE44" s="44"/>
      <c r="AF44" s="44"/>
      <c r="AG44" s="44"/>
      <c r="AH44" s="44"/>
      <c r="AI44" s="44"/>
      <c r="AJ44" s="44"/>
      <c r="AK44" s="44"/>
      <c r="AL44" s="44"/>
      <c r="AM44" s="44"/>
      <c r="AN44" s="44"/>
    </row>
    <row r="45" spans="1:40">
      <c r="A45" s="120" t="str">
        <f>A24</f>
        <v>Residual</v>
      </c>
      <c r="B45" s="116">
        <f t="array" ref="B45:Q45">B44:Q44-TRANSPOSE(R28:R43)</f>
        <v>-9.7363254462834448E-4</v>
      </c>
      <c r="C45" s="116">
        <v>0.35862846253439784</v>
      </c>
      <c r="D45" s="116">
        <v>0</v>
      </c>
      <c r="E45" s="116">
        <v>0</v>
      </c>
      <c r="F45" s="116">
        <v>0</v>
      </c>
      <c r="G45" s="116">
        <v>1.9936123862862587E-9</v>
      </c>
      <c r="H45" s="116">
        <v>1.8189894035458565E-12</v>
      </c>
      <c r="I45" s="116">
        <v>-1.8875204958021641E-2</v>
      </c>
      <c r="J45" s="116">
        <v>0</v>
      </c>
      <c r="K45" s="116">
        <v>0</v>
      </c>
      <c r="L45" s="116">
        <v>0</v>
      </c>
      <c r="M45" s="116">
        <v>0</v>
      </c>
      <c r="N45" s="116">
        <v>0</v>
      </c>
      <c r="O45" s="116">
        <v>0</v>
      </c>
      <c r="P45" s="116">
        <v>0</v>
      </c>
      <c r="Q45" s="116">
        <v>-0.33877962701080833</v>
      </c>
      <c r="R45" s="116"/>
      <c r="S45" s="116"/>
      <c r="T45" s="44"/>
      <c r="U45" s="44"/>
      <c r="V45" s="44"/>
      <c r="W45" s="44"/>
      <c r="X45" s="44"/>
      <c r="Y45" s="44"/>
      <c r="Z45" s="44"/>
      <c r="AA45" s="44"/>
      <c r="AB45" s="44"/>
      <c r="AC45" s="44"/>
      <c r="AD45" s="44"/>
      <c r="AE45" s="44"/>
      <c r="AF45" s="44"/>
      <c r="AG45" s="44"/>
      <c r="AH45" s="44"/>
      <c r="AI45" s="44"/>
      <c r="AJ45" s="44"/>
      <c r="AK45" s="44"/>
      <c r="AL45" s="44"/>
    </row>
    <row r="46" spans="1:40">
      <c r="A46" s="44"/>
      <c r="B46" s="106"/>
      <c r="C46" s="106"/>
      <c r="D46" s="106"/>
      <c r="E46" s="106"/>
      <c r="F46" s="106"/>
      <c r="G46" s="106"/>
      <c r="H46" s="106"/>
      <c r="I46" s="106"/>
      <c r="J46" s="106"/>
      <c r="K46" s="106"/>
      <c r="L46" s="106"/>
      <c r="M46" s="106"/>
      <c r="N46" s="106"/>
      <c r="O46" s="106"/>
      <c r="P46" s="106"/>
      <c r="Q46" s="106"/>
      <c r="R46" s="106"/>
      <c r="S46" s="106"/>
      <c r="T46" s="44"/>
      <c r="U46" s="44"/>
      <c r="V46" s="44"/>
      <c r="W46" s="44"/>
      <c r="X46" s="44"/>
      <c r="Y46" s="44"/>
      <c r="Z46" s="44"/>
      <c r="AA46" s="44"/>
      <c r="AB46" s="44"/>
      <c r="AC46" s="44"/>
      <c r="AD46" s="44"/>
      <c r="AE46" s="44"/>
      <c r="AF46" s="44"/>
      <c r="AG46" s="44"/>
      <c r="AH46" s="44"/>
      <c r="AI46" s="44"/>
      <c r="AJ46" s="44"/>
      <c r="AK46" s="44"/>
      <c r="AL46" s="44"/>
    </row>
    <row r="47" spans="1:40">
      <c r="A47" s="51">
        <v>1</v>
      </c>
      <c r="B47" s="106"/>
      <c r="C47" s="106"/>
      <c r="D47" s="106"/>
      <c r="E47" s="106"/>
      <c r="F47" s="106"/>
      <c r="G47" s="106"/>
      <c r="H47" s="106"/>
      <c r="I47" s="106"/>
      <c r="J47" s="106"/>
      <c r="K47" s="106"/>
      <c r="L47" s="106"/>
      <c r="M47" s="106"/>
      <c r="N47" s="106"/>
      <c r="O47" s="106"/>
      <c r="P47" s="106"/>
      <c r="Q47" s="106"/>
      <c r="R47" s="106"/>
      <c r="S47" s="106"/>
      <c r="T47" s="44"/>
      <c r="U47" s="44"/>
      <c r="V47" s="44"/>
      <c r="W47" s="44"/>
      <c r="X47" s="44"/>
      <c r="Y47" s="44"/>
      <c r="Z47" s="44"/>
      <c r="AA47" s="44"/>
      <c r="AB47" s="44"/>
      <c r="AC47" s="44"/>
      <c r="AD47" s="44"/>
      <c r="AE47" s="44"/>
      <c r="AF47" s="44"/>
      <c r="AG47" s="44"/>
      <c r="AH47" s="44"/>
      <c r="AI47" s="44"/>
      <c r="AJ47" s="44"/>
      <c r="AK47" s="44"/>
      <c r="AL47" s="44"/>
    </row>
    <row r="48" spans="1:40">
      <c r="A48" s="44"/>
      <c r="B48" s="106"/>
      <c r="C48" s="106"/>
      <c r="D48" s="106"/>
      <c r="E48" s="106"/>
      <c r="F48" s="106"/>
      <c r="G48" s="106"/>
      <c r="H48" s="106"/>
      <c r="I48" s="106"/>
      <c r="J48" s="106"/>
      <c r="K48" s="106"/>
      <c r="L48" s="106"/>
      <c r="M48" s="106"/>
      <c r="N48" s="106"/>
      <c r="O48" s="106"/>
      <c r="P48" s="106"/>
      <c r="Q48" s="106"/>
      <c r="R48" s="106"/>
      <c r="S48" s="106"/>
      <c r="T48" s="44"/>
      <c r="U48" s="44"/>
      <c r="V48" s="44"/>
      <c r="W48" s="44"/>
      <c r="X48" s="44"/>
      <c r="Y48" s="44"/>
      <c r="Z48" s="44"/>
      <c r="AA48" s="44"/>
      <c r="AB48" s="44"/>
      <c r="AC48" s="44"/>
      <c r="AD48" s="44"/>
      <c r="AE48" s="44"/>
      <c r="AF48" s="44"/>
      <c r="AG48" s="44"/>
      <c r="AH48" s="44"/>
      <c r="AI48" s="44"/>
      <c r="AJ48" s="44"/>
      <c r="AK48" s="44"/>
      <c r="AL48" s="44"/>
    </row>
    <row r="49" spans="1:40" ht="15">
      <c r="A49" s="122" t="s">
        <v>945</v>
      </c>
      <c r="B49" s="122"/>
      <c r="C49" s="122"/>
      <c r="D49" s="122"/>
      <c r="E49" s="122"/>
      <c r="F49" s="122"/>
      <c r="G49" s="122"/>
      <c r="H49" s="122"/>
      <c r="I49" s="122"/>
      <c r="J49" s="122"/>
      <c r="K49" s="122"/>
      <c r="L49" s="122"/>
      <c r="M49" s="122"/>
      <c r="N49" s="122"/>
      <c r="O49" s="122"/>
      <c r="P49" s="122"/>
      <c r="Q49" s="108"/>
      <c r="R49" s="106"/>
      <c r="S49" s="106"/>
      <c r="T49" s="44"/>
      <c r="U49" s="44"/>
      <c r="V49" s="44"/>
      <c r="W49" s="44"/>
      <c r="X49" s="44"/>
      <c r="Y49" s="44"/>
      <c r="Z49" s="44"/>
      <c r="AA49" s="44"/>
      <c r="AB49" s="44"/>
      <c r="AC49" s="44"/>
      <c r="AD49" s="44"/>
      <c r="AE49" s="44"/>
      <c r="AF49" s="44"/>
      <c r="AG49" s="44"/>
      <c r="AH49" s="44"/>
      <c r="AI49" s="44"/>
      <c r="AJ49" s="44"/>
      <c r="AK49" s="44"/>
      <c r="AL49" s="44"/>
    </row>
    <row r="50" spans="1:40">
      <c r="A50" s="49"/>
      <c r="B50" s="109" t="str">
        <f>B27</f>
        <v>agr</v>
      </c>
      <c r="C50" s="109" t="str">
        <f t="shared" ref="C50:S50" si="7">C27</f>
        <v>oth</v>
      </c>
      <c r="D50" s="109" t="str">
        <f t="shared" si="7"/>
        <v>lab</v>
      </c>
      <c r="E50" s="109" t="str">
        <f t="shared" si="7"/>
        <v>kap</v>
      </c>
      <c r="F50" s="109" t="str">
        <f t="shared" si="7"/>
        <v>fct</v>
      </c>
      <c r="G50" s="109" t="str">
        <f t="shared" si="7"/>
        <v>hh</v>
      </c>
      <c r="H50" s="109" t="str">
        <f t="shared" si="7"/>
        <v>gov</v>
      </c>
      <c r="I50" s="109" t="str">
        <f t="shared" si="7"/>
        <v>inv</v>
      </c>
      <c r="J50" s="109" t="str">
        <f t="shared" si="7"/>
        <v>depr</v>
      </c>
      <c r="K50" s="109" t="str">
        <f t="shared" si="7"/>
        <v>marg</v>
      </c>
      <c r="L50" s="109" t="str">
        <f t="shared" si="7"/>
        <v>indtx</v>
      </c>
      <c r="M50" s="109" t="str">
        <f t="shared" si="7"/>
        <v>prdtx</v>
      </c>
      <c r="N50" s="109" t="str">
        <f t="shared" si="7"/>
        <v>dirtx</v>
      </c>
      <c r="O50" s="109" t="str">
        <f t="shared" si="7"/>
        <v>imptx</v>
      </c>
      <c r="P50" s="109" t="str">
        <f t="shared" si="7"/>
        <v>exptx</v>
      </c>
      <c r="Q50" s="109" t="str">
        <f t="shared" si="7"/>
        <v>row</v>
      </c>
      <c r="R50" s="110" t="str">
        <f t="shared" si="7"/>
        <v>Total</v>
      </c>
      <c r="S50" s="111" t="str">
        <f t="shared" si="7"/>
        <v>Residual</v>
      </c>
      <c r="T50" s="44"/>
      <c r="U50" s="44"/>
      <c r="V50" s="44"/>
      <c r="W50" s="44"/>
      <c r="X50" s="44"/>
      <c r="Y50" s="44"/>
      <c r="Z50" s="44"/>
      <c r="AA50" s="44"/>
      <c r="AB50" s="44"/>
      <c r="AC50" s="44"/>
      <c r="AD50" s="44"/>
      <c r="AE50" s="44"/>
      <c r="AF50" s="44"/>
      <c r="AG50" s="44"/>
      <c r="AH50" s="44"/>
      <c r="AI50" s="44"/>
      <c r="AJ50" s="44"/>
      <c r="AK50" s="44"/>
      <c r="AL50" s="44"/>
      <c r="AM50" s="44"/>
      <c r="AN50" s="44"/>
    </row>
    <row r="51" spans="1:40">
      <c r="A51" s="113" t="str">
        <f>A28</f>
        <v>agr</v>
      </c>
      <c r="B51" s="114">
        <f t="shared" ref="B51:B65" si="8">IF(B7,100*(B28-B7)/B7,"")</f>
        <v>0</v>
      </c>
      <c r="C51" s="114">
        <f t="shared" ref="C51:R51" si="9">IF(C7,100*(C28-C7)/C7,"")</f>
        <v>0</v>
      </c>
      <c r="D51" s="114" t="str">
        <f t="shared" si="9"/>
        <v/>
      </c>
      <c r="E51" s="114" t="str">
        <f t="shared" si="9"/>
        <v/>
      </c>
      <c r="F51" s="114" t="str">
        <f t="shared" si="9"/>
        <v/>
      </c>
      <c r="G51" s="114">
        <f t="shared" si="9"/>
        <v>0</v>
      </c>
      <c r="H51" s="114">
        <f t="shared" si="9"/>
        <v>0</v>
      </c>
      <c r="I51" s="114">
        <f t="shared" si="9"/>
        <v>0</v>
      </c>
      <c r="J51" s="114" t="str">
        <f t="shared" si="9"/>
        <v/>
      </c>
      <c r="K51" s="114" t="str">
        <f t="shared" si="9"/>
        <v/>
      </c>
      <c r="L51" s="114" t="str">
        <f t="shared" si="9"/>
        <v/>
      </c>
      <c r="M51" s="114" t="str">
        <f t="shared" si="9"/>
        <v/>
      </c>
      <c r="N51" s="114" t="str">
        <f t="shared" si="9"/>
        <v/>
      </c>
      <c r="O51" s="114" t="str">
        <f t="shared" si="9"/>
        <v/>
      </c>
      <c r="P51" s="114" t="str">
        <f t="shared" si="9"/>
        <v/>
      </c>
      <c r="Q51" s="114">
        <f t="shared" si="9"/>
        <v>0</v>
      </c>
      <c r="R51" s="115">
        <f t="shared" si="9"/>
        <v>0</v>
      </c>
      <c r="S51" s="116">
        <f t="array" ref="S51:S66">R51:R66-TRANSPOSE(B67:Q67)</f>
        <v>0</v>
      </c>
      <c r="T51" s="44"/>
      <c r="U51" s="44"/>
      <c r="V51" s="44"/>
      <c r="W51" s="44"/>
      <c r="X51" s="44"/>
      <c r="Y51" s="44"/>
      <c r="Z51" s="44"/>
      <c r="AA51" s="44"/>
      <c r="AB51" s="44"/>
      <c r="AC51" s="44"/>
      <c r="AD51" s="44"/>
      <c r="AE51" s="44"/>
      <c r="AF51" s="44"/>
      <c r="AG51" s="44"/>
      <c r="AH51" s="44"/>
      <c r="AI51" s="44"/>
      <c r="AJ51" s="44"/>
      <c r="AK51" s="44"/>
      <c r="AL51" s="44"/>
      <c r="AM51" s="44"/>
      <c r="AN51" s="44"/>
    </row>
    <row r="52" spans="1:40">
      <c r="A52" s="113" t="str">
        <f t="shared" ref="A52:A68" si="10">A29</f>
        <v>oth</v>
      </c>
      <c r="B52" s="114">
        <f t="shared" si="8"/>
        <v>0</v>
      </c>
      <c r="C52" s="114">
        <f t="shared" ref="C52:R52" si="11">IF(C8,100*(C29-C8)/C8,"")</f>
        <v>0</v>
      </c>
      <c r="D52" s="114" t="str">
        <f t="shared" si="11"/>
        <v/>
      </c>
      <c r="E52" s="114" t="str">
        <f t="shared" si="11"/>
        <v/>
      </c>
      <c r="F52" s="114" t="str">
        <f t="shared" si="11"/>
        <v/>
      </c>
      <c r="G52" s="114">
        <f t="shared" si="11"/>
        <v>0</v>
      </c>
      <c r="H52" s="114">
        <f t="shared" si="11"/>
        <v>0</v>
      </c>
      <c r="I52" s="114">
        <f t="shared" si="11"/>
        <v>0</v>
      </c>
      <c r="J52" s="114" t="str">
        <f t="shared" si="11"/>
        <v/>
      </c>
      <c r="K52" s="114" t="str">
        <f t="shared" si="11"/>
        <v/>
      </c>
      <c r="L52" s="114" t="str">
        <f t="shared" si="11"/>
        <v/>
      </c>
      <c r="M52" s="114" t="str">
        <f t="shared" si="11"/>
        <v/>
      </c>
      <c r="N52" s="114" t="str">
        <f t="shared" si="11"/>
        <v/>
      </c>
      <c r="O52" s="114" t="str">
        <f t="shared" si="11"/>
        <v/>
      </c>
      <c r="P52" s="114" t="str">
        <f t="shared" si="11"/>
        <v/>
      </c>
      <c r="Q52" s="114">
        <f t="shared" si="11"/>
        <v>0</v>
      </c>
      <c r="R52" s="115">
        <f t="shared" si="11"/>
        <v>0</v>
      </c>
      <c r="S52" s="116">
        <v>0</v>
      </c>
      <c r="T52" s="44"/>
      <c r="U52" s="44"/>
      <c r="V52" s="44"/>
      <c r="W52" s="44"/>
      <c r="X52" s="44"/>
      <c r="Y52" s="44"/>
      <c r="Z52" s="44"/>
      <c r="AA52" s="44"/>
      <c r="AB52" s="44"/>
      <c r="AC52" s="44"/>
      <c r="AD52" s="44"/>
      <c r="AE52" s="44"/>
      <c r="AF52" s="44"/>
      <c r="AG52" s="44"/>
      <c r="AH52" s="44"/>
      <c r="AI52" s="44"/>
      <c r="AJ52" s="44"/>
      <c r="AK52" s="44"/>
      <c r="AL52" s="44"/>
      <c r="AM52" s="44"/>
      <c r="AN52" s="44"/>
    </row>
    <row r="53" spans="1:40">
      <c r="A53" s="113" t="str">
        <f t="shared" si="10"/>
        <v>lab</v>
      </c>
      <c r="B53" s="114">
        <f t="shared" si="8"/>
        <v>0</v>
      </c>
      <c r="C53" s="114">
        <f t="shared" ref="C53:R53" si="12">IF(C9,100*(C30-C9)/C9,"")</f>
        <v>0</v>
      </c>
      <c r="D53" s="114" t="str">
        <f t="shared" si="12"/>
        <v/>
      </c>
      <c r="E53" s="114" t="str">
        <f t="shared" si="12"/>
        <v/>
      </c>
      <c r="F53" s="114" t="str">
        <f t="shared" si="12"/>
        <v/>
      </c>
      <c r="G53" s="114" t="str">
        <f t="shared" si="12"/>
        <v/>
      </c>
      <c r="H53" s="114" t="str">
        <f t="shared" si="12"/>
        <v/>
      </c>
      <c r="I53" s="114" t="str">
        <f t="shared" si="12"/>
        <v/>
      </c>
      <c r="J53" s="114" t="str">
        <f t="shared" si="12"/>
        <v/>
      </c>
      <c r="K53" s="114" t="str">
        <f t="shared" si="12"/>
        <v/>
      </c>
      <c r="L53" s="114" t="str">
        <f t="shared" si="12"/>
        <v/>
      </c>
      <c r="M53" s="114" t="str">
        <f t="shared" si="12"/>
        <v/>
      </c>
      <c r="N53" s="114" t="str">
        <f t="shared" si="12"/>
        <v/>
      </c>
      <c r="O53" s="114" t="str">
        <f t="shared" si="12"/>
        <v/>
      </c>
      <c r="P53" s="114" t="str">
        <f t="shared" si="12"/>
        <v/>
      </c>
      <c r="Q53" s="114" t="str">
        <f t="shared" si="12"/>
        <v/>
      </c>
      <c r="R53" s="115">
        <f t="shared" si="12"/>
        <v>0</v>
      </c>
      <c r="S53" s="116">
        <v>0</v>
      </c>
      <c r="T53" s="44"/>
      <c r="U53" s="44"/>
      <c r="V53" s="44"/>
      <c r="W53" s="44"/>
      <c r="X53" s="44"/>
      <c r="Y53" s="44"/>
      <c r="Z53" s="44"/>
      <c r="AA53" s="44"/>
      <c r="AB53" s="44"/>
      <c r="AC53" s="44"/>
      <c r="AD53" s="44"/>
      <c r="AE53" s="44"/>
      <c r="AF53" s="44"/>
      <c r="AG53" s="44"/>
      <c r="AH53" s="44"/>
      <c r="AI53" s="44"/>
      <c r="AJ53" s="44"/>
      <c r="AK53" s="44"/>
      <c r="AL53" s="44"/>
      <c r="AM53" s="44"/>
      <c r="AN53" s="44"/>
    </row>
    <row r="54" spans="1:40">
      <c r="A54" s="113" t="str">
        <f t="shared" si="10"/>
        <v>kap</v>
      </c>
      <c r="B54" s="114">
        <f t="shared" si="8"/>
        <v>0</v>
      </c>
      <c r="C54" s="114">
        <f t="shared" ref="C54:R54" si="13">IF(C10,100*(C31-C10)/C10,"")</f>
        <v>0</v>
      </c>
      <c r="D54" s="114" t="str">
        <f t="shared" si="13"/>
        <v/>
      </c>
      <c r="E54" s="114" t="str">
        <f t="shared" si="13"/>
        <v/>
      </c>
      <c r="F54" s="114" t="str">
        <f t="shared" si="13"/>
        <v/>
      </c>
      <c r="G54" s="114" t="str">
        <f t="shared" si="13"/>
        <v/>
      </c>
      <c r="H54" s="114" t="str">
        <f t="shared" si="13"/>
        <v/>
      </c>
      <c r="I54" s="114" t="str">
        <f t="shared" si="13"/>
        <v/>
      </c>
      <c r="J54" s="114" t="str">
        <f t="shared" si="13"/>
        <v/>
      </c>
      <c r="K54" s="114" t="str">
        <f t="shared" si="13"/>
        <v/>
      </c>
      <c r="L54" s="114" t="str">
        <f t="shared" si="13"/>
        <v/>
      </c>
      <c r="M54" s="114" t="str">
        <f t="shared" si="13"/>
        <v/>
      </c>
      <c r="N54" s="114" t="str">
        <f t="shared" si="13"/>
        <v/>
      </c>
      <c r="O54" s="114" t="str">
        <f t="shared" si="13"/>
        <v/>
      </c>
      <c r="P54" s="114" t="str">
        <f t="shared" si="13"/>
        <v/>
      </c>
      <c r="Q54" s="114" t="str">
        <f t="shared" si="13"/>
        <v/>
      </c>
      <c r="R54" s="115">
        <f t="shared" si="13"/>
        <v>0</v>
      </c>
      <c r="S54" s="116">
        <v>1.5096063450646967E-12</v>
      </c>
      <c r="T54" s="44"/>
      <c r="U54" s="44"/>
      <c r="V54" s="44"/>
      <c r="W54" s="44"/>
      <c r="X54" s="44"/>
      <c r="Y54" s="44"/>
      <c r="Z54" s="44"/>
      <c r="AA54" s="44"/>
      <c r="AB54" s="44"/>
      <c r="AC54" s="44"/>
      <c r="AD54" s="44"/>
      <c r="AE54" s="44"/>
      <c r="AF54" s="44"/>
      <c r="AG54" s="44"/>
      <c r="AH54" s="44"/>
      <c r="AI54" s="44"/>
      <c r="AJ54" s="44"/>
      <c r="AK54" s="44"/>
      <c r="AL54" s="44"/>
      <c r="AM54" s="44"/>
      <c r="AN54" s="44"/>
    </row>
    <row r="55" spans="1:40">
      <c r="A55" s="113" t="str">
        <f t="shared" si="10"/>
        <v>fct</v>
      </c>
      <c r="B55" s="114">
        <f t="shared" si="8"/>
        <v>0</v>
      </c>
      <c r="C55" s="114">
        <f t="shared" ref="C55:R55" si="14">IF(C11,100*(C32-C11)/C11,"")</f>
        <v>0</v>
      </c>
      <c r="D55" s="114" t="str">
        <f t="shared" si="14"/>
        <v/>
      </c>
      <c r="E55" s="114" t="str">
        <f t="shared" si="14"/>
        <v/>
      </c>
      <c r="F55" s="114" t="str">
        <f t="shared" si="14"/>
        <v/>
      </c>
      <c r="G55" s="114" t="str">
        <f t="shared" si="14"/>
        <v/>
      </c>
      <c r="H55" s="114" t="str">
        <f t="shared" si="14"/>
        <v/>
      </c>
      <c r="I55" s="114" t="str">
        <f t="shared" si="14"/>
        <v/>
      </c>
      <c r="J55" s="114" t="str">
        <f t="shared" si="14"/>
        <v/>
      </c>
      <c r="K55" s="114" t="str">
        <f t="shared" si="14"/>
        <v/>
      </c>
      <c r="L55" s="114" t="str">
        <f t="shared" si="14"/>
        <v/>
      </c>
      <c r="M55" s="114" t="str">
        <f t="shared" si="14"/>
        <v/>
      </c>
      <c r="N55" s="114" t="str">
        <f t="shared" si="14"/>
        <v/>
      </c>
      <c r="O55" s="114" t="str">
        <f t="shared" si="14"/>
        <v/>
      </c>
      <c r="P55" s="114" t="str">
        <f t="shared" si="14"/>
        <v/>
      </c>
      <c r="Q55" s="114" t="str">
        <f t="shared" si="14"/>
        <v/>
      </c>
      <c r="R55" s="115">
        <f t="shared" si="14"/>
        <v>0</v>
      </c>
      <c r="S55" s="116">
        <v>0</v>
      </c>
      <c r="T55" s="44"/>
      <c r="U55" s="44"/>
      <c r="V55" s="44"/>
      <c r="W55" s="44"/>
      <c r="X55" s="44"/>
      <c r="Y55" s="44"/>
      <c r="Z55" s="44"/>
      <c r="AA55" s="44"/>
      <c r="AB55" s="44"/>
      <c r="AC55" s="44"/>
      <c r="AD55" s="44"/>
      <c r="AE55" s="44"/>
      <c r="AF55" s="44"/>
      <c r="AG55" s="44"/>
      <c r="AH55" s="44"/>
      <c r="AI55" s="44"/>
      <c r="AJ55" s="44"/>
      <c r="AK55" s="44"/>
      <c r="AL55" s="44"/>
      <c r="AM55" s="44"/>
      <c r="AN55" s="44"/>
    </row>
    <row r="56" spans="1:40">
      <c r="A56" s="113" t="str">
        <f t="shared" si="10"/>
        <v>hh</v>
      </c>
      <c r="B56" s="114" t="str">
        <f t="shared" si="8"/>
        <v/>
      </c>
      <c r="C56" s="114" t="str">
        <f t="shared" ref="C56:R56" si="15">IF(C12,100*(C33-C12)/C12,"")</f>
        <v/>
      </c>
      <c r="D56" s="114">
        <f t="shared" si="15"/>
        <v>0</v>
      </c>
      <c r="E56" s="114">
        <f t="shared" si="15"/>
        <v>-1.5096063450646967E-12</v>
      </c>
      <c r="F56" s="114">
        <f t="shared" si="15"/>
        <v>0</v>
      </c>
      <c r="G56" s="114" t="str">
        <f t="shared" si="15"/>
        <v/>
      </c>
      <c r="H56" s="114" t="str">
        <f t="shared" si="15"/>
        <v/>
      </c>
      <c r="I56" s="114" t="str">
        <f t="shared" si="15"/>
        <v/>
      </c>
      <c r="J56" s="114" t="str">
        <f t="shared" si="15"/>
        <v/>
      </c>
      <c r="K56" s="114" t="str">
        <f t="shared" si="15"/>
        <v/>
      </c>
      <c r="L56" s="114" t="str">
        <f t="shared" si="15"/>
        <v/>
      </c>
      <c r="M56" s="114" t="str">
        <f t="shared" si="15"/>
        <v/>
      </c>
      <c r="N56" s="114" t="str">
        <f t="shared" si="15"/>
        <v/>
      </c>
      <c r="O56" s="114" t="str">
        <f t="shared" si="15"/>
        <v/>
      </c>
      <c r="P56" s="114" t="str">
        <f t="shared" si="15"/>
        <v/>
      </c>
      <c r="Q56" s="114" t="str">
        <f t="shared" si="15"/>
        <v/>
      </c>
      <c r="R56" s="115">
        <f t="shared" si="15"/>
        <v>-1.0152222496093315E-12</v>
      </c>
      <c r="S56" s="116">
        <v>-1.0152222496093315E-12</v>
      </c>
      <c r="T56" s="44"/>
      <c r="U56" s="44"/>
      <c r="V56" s="44"/>
      <c r="W56" s="44"/>
      <c r="X56" s="44"/>
      <c r="Y56" s="44"/>
      <c r="Z56" s="44"/>
      <c r="AA56" s="44"/>
      <c r="AB56" s="44"/>
      <c r="AC56" s="44"/>
      <c r="AD56" s="44"/>
      <c r="AE56" s="44"/>
      <c r="AF56" s="44"/>
      <c r="AG56" s="44"/>
      <c r="AH56" s="44"/>
      <c r="AI56" s="44"/>
      <c r="AJ56" s="44"/>
      <c r="AK56" s="44"/>
      <c r="AL56" s="44"/>
      <c r="AM56" s="44"/>
      <c r="AN56" s="44"/>
    </row>
    <row r="57" spans="1:40">
      <c r="A57" s="113" t="str">
        <f t="shared" si="10"/>
        <v>gov</v>
      </c>
      <c r="B57" s="114" t="str">
        <f t="shared" si="8"/>
        <v/>
      </c>
      <c r="C57" s="114" t="str">
        <f t="shared" ref="C57:R57" si="16">IF(C13,100*(C34-C13)/C13,"")</f>
        <v/>
      </c>
      <c r="D57" s="114" t="str">
        <f t="shared" si="16"/>
        <v/>
      </c>
      <c r="E57" s="114" t="str">
        <f t="shared" si="16"/>
        <v/>
      </c>
      <c r="F57" s="114" t="str">
        <f t="shared" si="16"/>
        <v/>
      </c>
      <c r="G57" s="114" t="str">
        <f t="shared" si="16"/>
        <v/>
      </c>
      <c r="H57" s="114" t="str">
        <f t="shared" si="16"/>
        <v/>
      </c>
      <c r="I57" s="114" t="str">
        <f t="shared" si="16"/>
        <v/>
      </c>
      <c r="J57" s="114" t="str">
        <f t="shared" si="16"/>
        <v/>
      </c>
      <c r="K57" s="114" t="str">
        <f t="shared" si="16"/>
        <v/>
      </c>
      <c r="L57" s="114">
        <f t="shared" si="16"/>
        <v>-0.43914362407347113</v>
      </c>
      <c r="M57" s="114">
        <f t="shared" si="16"/>
        <v>9.8139494830355418E-12</v>
      </c>
      <c r="N57" s="114">
        <f t="shared" si="16"/>
        <v>0</v>
      </c>
      <c r="O57" s="114">
        <f t="shared" si="16"/>
        <v>1.7727631555260411E-11</v>
      </c>
      <c r="P57" s="114">
        <f t="shared" si="16"/>
        <v>-7.6734071338169676E-10</v>
      </c>
      <c r="Q57" s="114" t="str">
        <f t="shared" si="16"/>
        <v/>
      </c>
      <c r="R57" s="115">
        <f t="shared" si="16"/>
        <v>-7.2481539074513738E-4</v>
      </c>
      <c r="S57" s="116">
        <v>-1.7040778206222837E-6</v>
      </c>
      <c r="T57" s="44"/>
      <c r="U57" s="44"/>
      <c r="V57" s="44"/>
      <c r="W57" s="44"/>
      <c r="X57" s="44"/>
      <c r="Y57" s="44"/>
      <c r="Z57" s="44"/>
      <c r="AA57" s="44"/>
      <c r="AB57" s="44"/>
      <c r="AC57" s="44"/>
      <c r="AD57" s="44"/>
      <c r="AE57" s="44"/>
      <c r="AF57" s="44"/>
      <c r="AG57" s="44"/>
      <c r="AH57" s="44"/>
      <c r="AI57" s="44"/>
      <c r="AJ57" s="44"/>
      <c r="AK57" s="44"/>
      <c r="AL57" s="44"/>
      <c r="AM57" s="44"/>
      <c r="AN57" s="44"/>
    </row>
    <row r="58" spans="1:40">
      <c r="A58" s="113" t="str">
        <f t="shared" si="10"/>
        <v>inv</v>
      </c>
      <c r="B58" s="114" t="str">
        <f t="shared" si="8"/>
        <v/>
      </c>
      <c r="C58" s="114" t="str">
        <f t="shared" ref="C58:R58" si="17">IF(C14,100*(C35-C14)/C14,"")</f>
        <v/>
      </c>
      <c r="D58" s="114" t="str">
        <f t="shared" si="17"/>
        <v/>
      </c>
      <c r="E58" s="114" t="str">
        <f t="shared" si="17"/>
        <v/>
      </c>
      <c r="F58" s="114" t="str">
        <f t="shared" si="17"/>
        <v/>
      </c>
      <c r="G58" s="114">
        <f t="shared" si="17"/>
        <v>0</v>
      </c>
      <c r="H58" s="114" t="str">
        <f t="shared" si="17"/>
        <v/>
      </c>
      <c r="I58" s="114" t="str">
        <f t="shared" si="17"/>
        <v/>
      </c>
      <c r="J58" s="114">
        <f t="shared" si="17"/>
        <v>0</v>
      </c>
      <c r="K58" s="114" t="str">
        <f t="shared" si="17"/>
        <v/>
      </c>
      <c r="L58" s="114" t="str">
        <f t="shared" si="17"/>
        <v/>
      </c>
      <c r="M58" s="114" t="str">
        <f t="shared" si="17"/>
        <v/>
      </c>
      <c r="N58" s="114" t="str">
        <f t="shared" si="17"/>
        <v/>
      </c>
      <c r="O58" s="114" t="str">
        <f t="shared" si="17"/>
        <v/>
      </c>
      <c r="P58" s="114" t="str">
        <f t="shared" si="17"/>
        <v/>
      </c>
      <c r="Q58" s="114" t="str">
        <f t="shared" si="17"/>
        <v/>
      </c>
      <c r="R58" s="115">
        <f t="shared" si="17"/>
        <v>-2.0511606671547121E-4</v>
      </c>
      <c r="S58" s="116">
        <v>-2.0511606671547121E-4</v>
      </c>
      <c r="T58" s="44"/>
      <c r="U58" s="44"/>
      <c r="V58" s="44"/>
      <c r="W58" s="44"/>
      <c r="X58" s="44"/>
      <c r="Y58" s="44"/>
      <c r="Z58" s="44"/>
      <c r="AA58" s="44"/>
      <c r="AB58" s="44"/>
      <c r="AC58" s="44"/>
      <c r="AD58" s="44"/>
      <c r="AE58" s="44"/>
      <c r="AF58" s="44"/>
      <c r="AG58" s="44"/>
      <c r="AH58" s="44"/>
      <c r="AI58" s="44"/>
      <c r="AJ58" s="44"/>
      <c r="AK58" s="44"/>
      <c r="AL58" s="44"/>
      <c r="AM58" s="44"/>
      <c r="AN58" s="44"/>
    </row>
    <row r="59" spans="1:40">
      <c r="A59" s="113" t="str">
        <f t="shared" si="10"/>
        <v>depr</v>
      </c>
      <c r="B59" s="114" t="str">
        <f t="shared" si="8"/>
        <v/>
      </c>
      <c r="C59" s="114" t="str">
        <f t="shared" ref="C59:R59" si="18">IF(C15,100*(C36-C15)/C15,"")</f>
        <v/>
      </c>
      <c r="D59" s="114" t="str">
        <f t="shared" si="18"/>
        <v/>
      </c>
      <c r="E59" s="114" t="str">
        <f t="shared" si="18"/>
        <v/>
      </c>
      <c r="F59" s="114" t="str">
        <f t="shared" si="18"/>
        <v/>
      </c>
      <c r="G59" s="114">
        <f t="shared" si="18"/>
        <v>0</v>
      </c>
      <c r="H59" s="114" t="str">
        <f t="shared" si="18"/>
        <v/>
      </c>
      <c r="I59" s="114" t="str">
        <f t="shared" si="18"/>
        <v/>
      </c>
      <c r="J59" s="114" t="str">
        <f t="shared" si="18"/>
        <v/>
      </c>
      <c r="K59" s="114" t="str">
        <f t="shared" si="18"/>
        <v/>
      </c>
      <c r="L59" s="114" t="str">
        <f t="shared" si="18"/>
        <v/>
      </c>
      <c r="M59" s="114" t="str">
        <f t="shared" si="18"/>
        <v/>
      </c>
      <c r="N59" s="114" t="str">
        <f t="shared" si="18"/>
        <v/>
      </c>
      <c r="O59" s="114" t="str">
        <f t="shared" si="18"/>
        <v/>
      </c>
      <c r="P59" s="114" t="str">
        <f t="shared" si="18"/>
        <v/>
      </c>
      <c r="Q59" s="114" t="str">
        <f t="shared" si="18"/>
        <v/>
      </c>
      <c r="R59" s="115">
        <f t="shared" si="18"/>
        <v>0</v>
      </c>
      <c r="S59" s="116">
        <v>0</v>
      </c>
      <c r="T59" s="44"/>
      <c r="U59" s="44"/>
      <c r="V59" s="44"/>
      <c r="W59" s="44"/>
      <c r="X59" s="44"/>
      <c r="Y59" s="44"/>
      <c r="Z59" s="44"/>
      <c r="AA59" s="44"/>
      <c r="AB59" s="44"/>
      <c r="AC59" s="44"/>
      <c r="AD59" s="44"/>
      <c r="AE59" s="44"/>
      <c r="AF59" s="44"/>
      <c r="AG59" s="44"/>
      <c r="AH59" s="44"/>
      <c r="AI59" s="44"/>
      <c r="AJ59" s="44"/>
      <c r="AK59" s="44"/>
      <c r="AL59" s="44"/>
      <c r="AM59" s="44"/>
      <c r="AN59" s="44"/>
    </row>
    <row r="60" spans="1:40">
      <c r="A60" s="113" t="str">
        <f t="shared" si="10"/>
        <v>marg</v>
      </c>
      <c r="B60" s="114" t="str">
        <f t="shared" si="8"/>
        <v/>
      </c>
      <c r="C60" s="114" t="str">
        <f t="shared" ref="C60:R60" si="19">IF(C16,100*(C37-C16)/C16,"")</f>
        <v/>
      </c>
      <c r="D60" s="114" t="str">
        <f t="shared" si="19"/>
        <v/>
      </c>
      <c r="E60" s="114" t="str">
        <f t="shared" si="19"/>
        <v/>
      </c>
      <c r="F60" s="114" t="str">
        <f t="shared" si="19"/>
        <v/>
      </c>
      <c r="G60" s="114" t="str">
        <f t="shared" si="19"/>
        <v/>
      </c>
      <c r="H60" s="114" t="str">
        <f t="shared" si="19"/>
        <v/>
      </c>
      <c r="I60" s="114" t="str">
        <f t="shared" si="19"/>
        <v/>
      </c>
      <c r="J60" s="114" t="str">
        <f t="shared" si="19"/>
        <v/>
      </c>
      <c r="K60" s="114" t="str">
        <f t="shared" si="19"/>
        <v/>
      </c>
      <c r="L60" s="114" t="str">
        <f t="shared" si="19"/>
        <v/>
      </c>
      <c r="M60" s="114" t="str">
        <f t="shared" si="19"/>
        <v/>
      </c>
      <c r="N60" s="114" t="str">
        <f t="shared" si="19"/>
        <v/>
      </c>
      <c r="O60" s="114" t="str">
        <f t="shared" si="19"/>
        <v/>
      </c>
      <c r="P60" s="114" t="str">
        <f t="shared" si="19"/>
        <v/>
      </c>
      <c r="Q60" s="114" t="str">
        <f t="shared" si="19"/>
        <v/>
      </c>
      <c r="R60" s="115" t="str">
        <f t="shared" si="19"/>
        <v/>
      </c>
      <c r="S60" s="116" t="e">
        <v>#VALUE!</v>
      </c>
      <c r="T60" s="44"/>
      <c r="U60" s="44"/>
      <c r="V60" s="44"/>
      <c r="W60" s="44"/>
      <c r="X60" s="44"/>
      <c r="Y60" s="44"/>
      <c r="Z60" s="44"/>
      <c r="AA60" s="44"/>
      <c r="AB60" s="44"/>
      <c r="AC60" s="44"/>
      <c r="AD60" s="44"/>
      <c r="AE60" s="44"/>
      <c r="AF60" s="44"/>
      <c r="AG60" s="44"/>
      <c r="AH60" s="44"/>
      <c r="AI60" s="44"/>
      <c r="AJ60" s="44"/>
      <c r="AK60" s="44"/>
      <c r="AL60" s="44"/>
      <c r="AM60" s="44"/>
      <c r="AN60" s="44"/>
    </row>
    <row r="61" spans="1:40">
      <c r="A61" s="113" t="str">
        <f t="shared" si="10"/>
        <v>indtx</v>
      </c>
      <c r="B61" s="114">
        <f t="shared" si="8"/>
        <v>0</v>
      </c>
      <c r="C61" s="114">
        <f t="shared" ref="C61:R61" si="20">IF(C17,100*(C38-C17)/C17,"")</f>
        <v>0</v>
      </c>
      <c r="D61" s="114" t="str">
        <f t="shared" si="20"/>
        <v/>
      </c>
      <c r="E61" s="114" t="str">
        <f t="shared" si="20"/>
        <v/>
      </c>
      <c r="F61" s="114" t="str">
        <f t="shared" si="20"/>
        <v/>
      </c>
      <c r="G61" s="114">
        <f t="shared" si="20"/>
        <v>0</v>
      </c>
      <c r="H61" s="114" t="str">
        <f t="shared" si="20"/>
        <v/>
      </c>
      <c r="I61" s="114" t="str">
        <f t="shared" si="20"/>
        <v/>
      </c>
      <c r="J61" s="114" t="str">
        <f t="shared" si="20"/>
        <v/>
      </c>
      <c r="K61" s="114" t="str">
        <f t="shared" si="20"/>
        <v/>
      </c>
      <c r="L61" s="114" t="str">
        <f t="shared" si="20"/>
        <v/>
      </c>
      <c r="M61" s="114" t="str">
        <f t="shared" si="20"/>
        <v/>
      </c>
      <c r="N61" s="114" t="str">
        <f t="shared" si="20"/>
        <v/>
      </c>
      <c r="O61" s="114" t="str">
        <f t="shared" si="20"/>
        <v/>
      </c>
      <c r="P61" s="114" t="str">
        <f t="shared" si="20"/>
        <v/>
      </c>
      <c r="Q61" s="114" t="str">
        <f t="shared" si="20"/>
        <v/>
      </c>
      <c r="R61" s="115">
        <f t="shared" si="20"/>
        <v>0</v>
      </c>
      <c r="S61" s="116">
        <v>0.43914362407347113</v>
      </c>
      <c r="T61" s="44"/>
      <c r="U61" s="44"/>
      <c r="V61" s="44"/>
      <c r="W61" s="44"/>
      <c r="X61" s="44"/>
      <c r="Y61" s="44"/>
      <c r="Z61" s="44"/>
      <c r="AA61" s="44"/>
      <c r="AB61" s="44"/>
      <c r="AC61" s="44"/>
      <c r="AD61" s="44"/>
      <c r="AE61" s="44"/>
      <c r="AF61" s="44"/>
      <c r="AG61" s="44"/>
      <c r="AH61" s="44"/>
      <c r="AI61" s="44"/>
      <c r="AJ61" s="44"/>
      <c r="AK61" s="44"/>
      <c r="AL61" s="44"/>
      <c r="AM61" s="44"/>
      <c r="AN61" s="44"/>
    </row>
    <row r="62" spans="1:40">
      <c r="A62" s="113" t="str">
        <f t="shared" si="10"/>
        <v>prdtx</v>
      </c>
      <c r="B62" s="114">
        <f t="shared" si="8"/>
        <v>-6.5469301509820221E-13</v>
      </c>
      <c r="C62" s="114">
        <f t="shared" ref="C62:R62" si="21">IF(C18,100*(C39-C18)/C18,"")</f>
        <v>-3.3291201890949914E-13</v>
      </c>
      <c r="D62" s="114" t="str">
        <f t="shared" si="21"/>
        <v/>
      </c>
      <c r="E62" s="114" t="str">
        <f t="shared" si="21"/>
        <v/>
      </c>
      <c r="F62" s="114" t="str">
        <f t="shared" si="21"/>
        <v/>
      </c>
      <c r="G62" s="114" t="str">
        <f t="shared" si="21"/>
        <v/>
      </c>
      <c r="H62" s="114" t="str">
        <f t="shared" si="21"/>
        <v/>
      </c>
      <c r="I62" s="114" t="str">
        <f t="shared" si="21"/>
        <v/>
      </c>
      <c r="J62" s="114" t="str">
        <f t="shared" si="21"/>
        <v/>
      </c>
      <c r="K62" s="114" t="str">
        <f t="shared" si="21"/>
        <v/>
      </c>
      <c r="L62" s="114" t="str">
        <f t="shared" si="21"/>
        <v/>
      </c>
      <c r="M62" s="114" t="str">
        <f t="shared" si="21"/>
        <v/>
      </c>
      <c r="N62" s="114" t="str">
        <f t="shared" si="21"/>
        <v/>
      </c>
      <c r="O62" s="114" t="str">
        <f t="shared" si="21"/>
        <v/>
      </c>
      <c r="P62" s="114" t="str">
        <f t="shared" si="21"/>
        <v/>
      </c>
      <c r="Q62" s="114" t="str">
        <f t="shared" si="21"/>
        <v/>
      </c>
      <c r="R62" s="115">
        <f t="shared" si="21"/>
        <v>-3.5049819582266227E-13</v>
      </c>
      <c r="S62" s="116">
        <v>-1.0164447678858204E-11</v>
      </c>
      <c r="T62" s="44"/>
      <c r="U62" s="44"/>
      <c r="V62" s="44"/>
      <c r="W62" s="44"/>
      <c r="X62" s="44"/>
      <c r="Y62" s="44"/>
      <c r="Z62" s="44"/>
      <c r="AA62" s="44"/>
      <c r="AB62" s="44"/>
      <c r="AC62" s="44"/>
      <c r="AD62" s="44"/>
      <c r="AE62" s="44"/>
      <c r="AF62" s="44"/>
      <c r="AG62" s="44"/>
      <c r="AH62" s="44"/>
      <c r="AI62" s="44"/>
      <c r="AJ62" s="44"/>
      <c r="AK62" s="44"/>
      <c r="AL62" s="44"/>
      <c r="AM62" s="44"/>
      <c r="AN62" s="44"/>
    </row>
    <row r="63" spans="1:40">
      <c r="A63" s="113" t="str">
        <f t="shared" si="10"/>
        <v>dirtx</v>
      </c>
      <c r="B63" s="114" t="str">
        <f t="shared" si="8"/>
        <v/>
      </c>
      <c r="C63" s="114" t="str">
        <f t="shared" ref="C63:R63" si="22">IF(C19,100*(C40-C19)/C19,"")</f>
        <v/>
      </c>
      <c r="D63" s="114" t="str">
        <f t="shared" si="22"/>
        <v/>
      </c>
      <c r="E63" s="114" t="str">
        <f t="shared" si="22"/>
        <v/>
      </c>
      <c r="F63" s="114" t="str">
        <f t="shared" si="22"/>
        <v/>
      </c>
      <c r="G63" s="114">
        <f t="shared" si="22"/>
        <v>0</v>
      </c>
      <c r="H63" s="114" t="str">
        <f t="shared" si="22"/>
        <v/>
      </c>
      <c r="I63" s="114" t="str">
        <f t="shared" si="22"/>
        <v/>
      </c>
      <c r="J63" s="114" t="str">
        <f t="shared" si="22"/>
        <v/>
      </c>
      <c r="K63" s="114" t="str">
        <f t="shared" si="22"/>
        <v/>
      </c>
      <c r="L63" s="114" t="str">
        <f t="shared" si="22"/>
        <v/>
      </c>
      <c r="M63" s="114" t="str">
        <f t="shared" si="22"/>
        <v/>
      </c>
      <c r="N63" s="114" t="str">
        <f t="shared" si="22"/>
        <v/>
      </c>
      <c r="O63" s="114" t="str">
        <f t="shared" si="22"/>
        <v/>
      </c>
      <c r="P63" s="114" t="str">
        <f t="shared" si="22"/>
        <v/>
      </c>
      <c r="Q63" s="114" t="str">
        <f t="shared" si="22"/>
        <v/>
      </c>
      <c r="R63" s="115">
        <f t="shared" si="22"/>
        <v>0</v>
      </c>
      <c r="S63" s="116">
        <v>0</v>
      </c>
      <c r="T63" s="44"/>
      <c r="U63" s="44"/>
      <c r="V63" s="44"/>
      <c r="W63" s="44"/>
      <c r="X63" s="44"/>
      <c r="Y63" s="44"/>
      <c r="Z63" s="44"/>
      <c r="AA63" s="44"/>
      <c r="AB63" s="44"/>
      <c r="AC63" s="44"/>
      <c r="AD63" s="44"/>
      <c r="AE63" s="44"/>
      <c r="AF63" s="44"/>
      <c r="AG63" s="44"/>
      <c r="AH63" s="44"/>
      <c r="AI63" s="44"/>
      <c r="AJ63" s="44"/>
      <c r="AK63" s="44"/>
      <c r="AL63" s="44"/>
      <c r="AM63" s="44"/>
      <c r="AN63" s="44"/>
    </row>
    <row r="64" spans="1:40">
      <c r="A64" s="113" t="str">
        <f t="shared" si="10"/>
        <v>imptx</v>
      </c>
      <c r="B64" s="114">
        <f t="shared" si="8"/>
        <v>0</v>
      </c>
      <c r="C64" s="114">
        <f t="shared" ref="C64:R64" si="23">IF(C20,100*(C41-C20)/C20,"")</f>
        <v>0</v>
      </c>
      <c r="D64" s="114" t="str">
        <f t="shared" si="23"/>
        <v/>
      </c>
      <c r="E64" s="114" t="str">
        <f t="shared" si="23"/>
        <v/>
      </c>
      <c r="F64" s="114" t="str">
        <f t="shared" si="23"/>
        <v/>
      </c>
      <c r="G64" s="114" t="str">
        <f t="shared" si="23"/>
        <v/>
      </c>
      <c r="H64" s="114" t="str">
        <f t="shared" si="23"/>
        <v/>
      </c>
      <c r="I64" s="114" t="str">
        <f t="shared" si="23"/>
        <v/>
      </c>
      <c r="J64" s="114" t="str">
        <f t="shared" si="23"/>
        <v/>
      </c>
      <c r="K64" s="114" t="str">
        <f t="shared" si="23"/>
        <v/>
      </c>
      <c r="L64" s="114" t="str">
        <f t="shared" si="23"/>
        <v/>
      </c>
      <c r="M64" s="114" t="str">
        <f t="shared" si="23"/>
        <v/>
      </c>
      <c r="N64" s="114" t="str">
        <f t="shared" si="23"/>
        <v/>
      </c>
      <c r="O64" s="114" t="str">
        <f t="shared" si="23"/>
        <v/>
      </c>
      <c r="P64" s="114" t="str">
        <f t="shared" si="23"/>
        <v/>
      </c>
      <c r="Q64" s="114" t="str">
        <f t="shared" si="23"/>
        <v/>
      </c>
      <c r="R64" s="115">
        <f t="shared" si="23"/>
        <v>0</v>
      </c>
      <c r="S64" s="116">
        <v>-1.7727631555260411E-11</v>
      </c>
      <c r="T64" s="44"/>
      <c r="U64" s="44"/>
      <c r="V64" s="44"/>
      <c r="W64" s="44"/>
      <c r="X64" s="44"/>
      <c r="Y64" s="44"/>
      <c r="Z64" s="44"/>
      <c r="AA64" s="44"/>
      <c r="AB64" s="44"/>
      <c r="AC64" s="44"/>
      <c r="AD64" s="44"/>
      <c r="AE64" s="44"/>
      <c r="AF64" s="44"/>
      <c r="AG64" s="44"/>
      <c r="AH64" s="44"/>
      <c r="AI64" s="44"/>
      <c r="AJ64" s="44"/>
      <c r="AK64" s="44"/>
      <c r="AL64" s="44"/>
      <c r="AM64" s="44"/>
      <c r="AN64" s="44"/>
    </row>
    <row r="65" spans="1:40">
      <c r="A65" s="113" t="str">
        <f t="shared" si="10"/>
        <v>exptx</v>
      </c>
      <c r="B65" s="114" t="str">
        <f t="shared" si="8"/>
        <v/>
      </c>
      <c r="C65" s="114">
        <f t="shared" ref="C65:R65" si="24">IF(C21,100*(C42-C21)/C21,"")</f>
        <v>0</v>
      </c>
      <c r="D65" s="114" t="str">
        <f t="shared" si="24"/>
        <v/>
      </c>
      <c r="E65" s="114" t="str">
        <f t="shared" si="24"/>
        <v/>
      </c>
      <c r="F65" s="114" t="str">
        <f t="shared" si="24"/>
        <v/>
      </c>
      <c r="G65" s="114" t="str">
        <f t="shared" si="24"/>
        <v/>
      </c>
      <c r="H65" s="114" t="str">
        <f t="shared" si="24"/>
        <v/>
      </c>
      <c r="I65" s="114" t="str">
        <f t="shared" si="24"/>
        <v/>
      </c>
      <c r="J65" s="114" t="str">
        <f t="shared" si="24"/>
        <v/>
      </c>
      <c r="K65" s="114" t="str">
        <f t="shared" si="24"/>
        <v/>
      </c>
      <c r="L65" s="114" t="str">
        <f t="shared" si="24"/>
        <v/>
      </c>
      <c r="M65" s="114" t="str">
        <f t="shared" si="24"/>
        <v/>
      </c>
      <c r="N65" s="114" t="str">
        <f t="shared" si="24"/>
        <v/>
      </c>
      <c r="O65" s="114" t="str">
        <f t="shared" si="24"/>
        <v/>
      </c>
      <c r="P65" s="114" t="str">
        <f t="shared" si="24"/>
        <v/>
      </c>
      <c r="Q65" s="114" t="str">
        <f t="shared" si="24"/>
        <v/>
      </c>
      <c r="R65" s="115">
        <f t="shared" si="24"/>
        <v>0</v>
      </c>
      <c r="S65" s="116">
        <v>7.6734071338169676E-10</v>
      </c>
      <c r="T65" s="44"/>
      <c r="U65" s="44"/>
      <c r="V65" s="44"/>
      <c r="W65" s="44"/>
      <c r="X65" s="44"/>
      <c r="Y65" s="44"/>
      <c r="Z65" s="44"/>
      <c r="AA65" s="44"/>
      <c r="AB65" s="44"/>
      <c r="AC65" s="44"/>
      <c r="AD65" s="44"/>
      <c r="AE65" s="44"/>
      <c r="AF65" s="44"/>
      <c r="AG65" s="44"/>
      <c r="AH65" s="44"/>
      <c r="AI65" s="44"/>
      <c r="AJ65" s="44"/>
      <c r="AK65" s="44"/>
      <c r="AL65" s="44"/>
      <c r="AM65" s="44"/>
      <c r="AN65" s="44"/>
    </row>
    <row r="66" spans="1:40">
      <c r="A66" s="113" t="str">
        <f t="shared" si="10"/>
        <v>row</v>
      </c>
      <c r="B66" s="114">
        <f t="shared" ref="B66:Q66" si="25">IF(B22,100*(B43-B22)/B22,"")</f>
        <v>0</v>
      </c>
      <c r="C66" s="114">
        <f t="shared" si="25"/>
        <v>0</v>
      </c>
      <c r="D66" s="114" t="str">
        <f t="shared" si="25"/>
        <v/>
      </c>
      <c r="E66" s="114" t="str">
        <f t="shared" si="25"/>
        <v/>
      </c>
      <c r="F66" s="114" t="str">
        <f t="shared" si="25"/>
        <v/>
      </c>
      <c r="G66" s="114" t="str">
        <f t="shared" si="25"/>
        <v/>
      </c>
      <c r="H66" s="114" t="str">
        <f t="shared" si="25"/>
        <v/>
      </c>
      <c r="I66" s="114">
        <f t="shared" si="25"/>
        <v>0</v>
      </c>
      <c r="J66" s="114" t="str">
        <f t="shared" si="25"/>
        <v/>
      </c>
      <c r="K66" s="114" t="str">
        <f t="shared" si="25"/>
        <v/>
      </c>
      <c r="L66" s="114" t="str">
        <f t="shared" si="25"/>
        <v/>
      </c>
      <c r="M66" s="114" t="str">
        <f t="shared" si="25"/>
        <v/>
      </c>
      <c r="N66" s="114" t="str">
        <f t="shared" si="25"/>
        <v/>
      </c>
      <c r="O66" s="114" t="str">
        <f t="shared" si="25"/>
        <v/>
      </c>
      <c r="P66" s="114" t="str">
        <f t="shared" si="25"/>
        <v/>
      </c>
      <c r="Q66" s="114">
        <f t="shared" si="25"/>
        <v>-87.700356160587873</v>
      </c>
      <c r="R66" s="115">
        <f>IF(R22,100*(R43-R22)/R22,"")</f>
        <v>-56.042047361775872</v>
      </c>
      <c r="S66" s="116">
        <v>8.4439841288030948E-5</v>
      </c>
      <c r="T66" s="44"/>
      <c r="U66" s="44"/>
      <c r="V66" s="44"/>
      <c r="W66" s="44"/>
      <c r="X66" s="44"/>
      <c r="Y66" s="44"/>
      <c r="Z66" s="44"/>
      <c r="AA66" s="44"/>
      <c r="AB66" s="44"/>
      <c r="AC66" s="44"/>
      <c r="AD66" s="44"/>
      <c r="AE66" s="44"/>
      <c r="AF66" s="44"/>
      <c r="AG66" s="44"/>
      <c r="AH66" s="44"/>
      <c r="AI66" s="44"/>
      <c r="AJ66" s="44"/>
      <c r="AK66" s="44"/>
      <c r="AL66" s="44"/>
      <c r="AM66" s="44"/>
      <c r="AN66" s="44"/>
    </row>
    <row r="67" spans="1:40">
      <c r="A67" s="117" t="str">
        <f t="shared" si="10"/>
        <v>Total</v>
      </c>
      <c r="B67" s="118">
        <f t="shared" ref="B67:R67" si="26">IF(B23,100*(B44-B23)/B23,"")</f>
        <v>0</v>
      </c>
      <c r="C67" s="118">
        <f t="shared" si="26"/>
        <v>0</v>
      </c>
      <c r="D67" s="118">
        <f t="shared" si="26"/>
        <v>0</v>
      </c>
      <c r="E67" s="118">
        <f t="shared" si="26"/>
        <v>-1.5096063450646967E-12</v>
      </c>
      <c r="F67" s="118">
        <f t="shared" si="26"/>
        <v>0</v>
      </c>
      <c r="G67" s="118">
        <f t="shared" si="26"/>
        <v>0</v>
      </c>
      <c r="H67" s="118">
        <f t="shared" si="26"/>
        <v>-7.231113129245151E-4</v>
      </c>
      <c r="I67" s="118">
        <f t="shared" si="26"/>
        <v>0</v>
      </c>
      <c r="J67" s="118">
        <f t="shared" si="26"/>
        <v>0</v>
      </c>
      <c r="K67" s="118" t="str">
        <f t="shared" si="26"/>
        <v/>
      </c>
      <c r="L67" s="118">
        <f t="shared" si="26"/>
        <v>-0.43914362407347113</v>
      </c>
      <c r="M67" s="118">
        <f t="shared" si="26"/>
        <v>9.8139494830355418E-12</v>
      </c>
      <c r="N67" s="118">
        <f t="shared" si="26"/>
        <v>0</v>
      </c>
      <c r="O67" s="118">
        <f t="shared" si="26"/>
        <v>1.7727631555260411E-11</v>
      </c>
      <c r="P67" s="118">
        <f t="shared" si="26"/>
        <v>-7.6734071338169676E-10</v>
      </c>
      <c r="Q67" s="118">
        <f t="shared" si="26"/>
        <v>-56.04213180161716</v>
      </c>
      <c r="R67" s="119" t="str">
        <f t="shared" si="26"/>
        <v/>
      </c>
      <c r="S67" s="116"/>
      <c r="T67" s="44"/>
      <c r="U67" s="44"/>
      <c r="V67" s="44"/>
      <c r="W67" s="44"/>
      <c r="X67" s="44"/>
      <c r="Y67" s="44"/>
      <c r="Z67" s="44"/>
      <c r="AA67" s="44"/>
      <c r="AB67" s="44"/>
      <c r="AC67" s="44"/>
      <c r="AD67" s="44"/>
      <c r="AE67" s="44"/>
      <c r="AF67" s="44"/>
      <c r="AG67" s="44"/>
      <c r="AH67" s="44"/>
      <c r="AI67" s="44"/>
      <c r="AJ67" s="44"/>
      <c r="AK67" s="44"/>
      <c r="AL67" s="44"/>
      <c r="AM67" s="44"/>
      <c r="AN67" s="44"/>
    </row>
    <row r="68" spans="1:40">
      <c r="A68" s="120" t="str">
        <f t="shared" si="10"/>
        <v>Residual</v>
      </c>
      <c r="B68" s="116">
        <f t="array" ref="B68:Q68">B67:Q67-TRANSPOSE(R51:R66)</f>
        <v>0</v>
      </c>
      <c r="C68" s="116">
        <v>0</v>
      </c>
      <c r="D68" s="116">
        <v>0</v>
      </c>
      <c r="E68" s="116">
        <v>-1.5096063450646967E-12</v>
      </c>
      <c r="F68" s="116">
        <v>0</v>
      </c>
      <c r="G68" s="116">
        <v>1.0152222496093315E-12</v>
      </c>
      <c r="H68" s="116">
        <v>1.7040778206222837E-6</v>
      </c>
      <c r="I68" s="116">
        <v>2.0511606671547121E-4</v>
      </c>
      <c r="J68" s="116">
        <v>0</v>
      </c>
      <c r="K68" s="116" t="e">
        <v>#VALUE!</v>
      </c>
      <c r="L68" s="116">
        <v>-0.43914362407347113</v>
      </c>
      <c r="M68" s="116">
        <v>1.0164447678858204E-11</v>
      </c>
      <c r="N68" s="116">
        <v>0</v>
      </c>
      <c r="O68" s="116">
        <v>1.7727631555260411E-11</v>
      </c>
      <c r="P68" s="116">
        <v>-7.6734071338169676E-10</v>
      </c>
      <c r="Q68" s="116">
        <v>-8.4439841288030948E-5</v>
      </c>
      <c r="R68" s="116"/>
      <c r="S68" s="116"/>
      <c r="T68" s="44"/>
      <c r="U68" s="44"/>
      <c r="V68" s="44"/>
      <c r="W68" s="44"/>
      <c r="X68" s="44"/>
      <c r="Y68" s="44"/>
      <c r="Z68" s="44"/>
      <c r="AA68" s="44"/>
      <c r="AB68" s="44"/>
      <c r="AC68" s="44"/>
      <c r="AD68" s="44"/>
      <c r="AE68" s="44"/>
      <c r="AF68" s="44"/>
      <c r="AG68" s="44"/>
      <c r="AH68" s="44"/>
      <c r="AI68" s="44"/>
      <c r="AJ68" s="44"/>
      <c r="AK68" s="44"/>
      <c r="AL68" s="44"/>
    </row>
    <row r="69" spans="1:40">
      <c r="A69" s="44"/>
      <c r="B69" s="106"/>
      <c r="C69" s="106"/>
      <c r="D69" s="106"/>
      <c r="E69" s="106"/>
      <c r="F69" s="106"/>
      <c r="G69" s="106"/>
      <c r="H69" s="106"/>
      <c r="I69" s="106"/>
      <c r="J69" s="106"/>
      <c r="K69" s="106"/>
      <c r="L69" s="106"/>
      <c r="M69" s="106"/>
      <c r="N69" s="106"/>
      <c r="O69" s="106"/>
      <c r="P69" s="106"/>
      <c r="Q69" s="106"/>
      <c r="R69" s="106"/>
      <c r="S69" s="106"/>
      <c r="T69" s="44"/>
      <c r="U69" s="44"/>
      <c r="V69" s="44"/>
      <c r="W69" s="44"/>
      <c r="X69" s="44"/>
      <c r="Y69" s="44"/>
      <c r="Z69" s="44"/>
      <c r="AA69" s="44"/>
      <c r="AB69" s="44"/>
      <c r="AC69" s="44"/>
      <c r="AD69" s="44"/>
      <c r="AE69" s="44"/>
      <c r="AF69" s="44"/>
      <c r="AG69" s="44"/>
      <c r="AH69" s="44"/>
      <c r="AI69" s="44"/>
      <c r="AJ69" s="44"/>
      <c r="AK69" s="44"/>
      <c r="AL69" s="44"/>
    </row>
    <row r="70" spans="1:40">
      <c r="A70" s="44"/>
      <c r="B70" s="106"/>
      <c r="C70" s="106"/>
      <c r="D70" s="106"/>
      <c r="E70" s="106"/>
      <c r="F70" s="106"/>
      <c r="G70" s="106"/>
      <c r="H70" s="106"/>
      <c r="I70" s="106"/>
      <c r="J70" s="106"/>
      <c r="K70" s="106"/>
      <c r="L70" s="106"/>
      <c r="M70" s="106"/>
      <c r="N70" s="106"/>
      <c r="O70" s="106"/>
      <c r="P70" s="106"/>
      <c r="Q70" s="106"/>
      <c r="R70" s="106"/>
      <c r="S70" s="106"/>
      <c r="T70" s="44"/>
      <c r="U70" s="44"/>
      <c r="V70" s="44"/>
      <c r="W70" s="44"/>
      <c r="X70" s="44"/>
      <c r="Y70" s="44"/>
      <c r="Z70" s="44"/>
      <c r="AA70" s="44"/>
      <c r="AB70" s="44"/>
      <c r="AC70" s="44"/>
      <c r="AD70" s="44"/>
      <c r="AE70" s="44"/>
      <c r="AF70" s="44"/>
      <c r="AG70" s="44"/>
      <c r="AH70" s="44"/>
      <c r="AI70" s="44"/>
      <c r="AJ70" s="44"/>
      <c r="AK70" s="44"/>
      <c r="AL70" s="44"/>
    </row>
    <row r="71" spans="1:40">
      <c r="A71" s="44"/>
      <c r="B71" s="106"/>
      <c r="C71" s="106"/>
      <c r="D71" s="106"/>
      <c r="E71" s="106"/>
      <c r="F71" s="106"/>
      <c r="G71" s="106"/>
      <c r="H71" s="106"/>
      <c r="I71" s="106"/>
      <c r="J71" s="106"/>
      <c r="K71" s="106"/>
      <c r="L71" s="106"/>
      <c r="M71" s="106"/>
      <c r="N71" s="106"/>
      <c r="O71" s="106"/>
      <c r="P71" s="106"/>
      <c r="Q71" s="106"/>
      <c r="R71" s="106"/>
      <c r="S71" s="106"/>
      <c r="T71" s="44"/>
      <c r="U71" s="44"/>
      <c r="V71" s="44"/>
      <c r="W71" s="44"/>
      <c r="X71" s="44"/>
      <c r="Y71" s="44"/>
      <c r="Z71" s="44"/>
      <c r="AA71" s="44"/>
      <c r="AB71" s="44"/>
      <c r="AC71" s="44"/>
      <c r="AD71" s="44"/>
      <c r="AE71" s="44"/>
      <c r="AF71" s="44"/>
      <c r="AG71" s="44"/>
      <c r="AH71" s="44"/>
      <c r="AI71" s="44"/>
      <c r="AJ71" s="44"/>
      <c r="AK71" s="44"/>
      <c r="AL71" s="44"/>
    </row>
    <row r="72" spans="1:40">
      <c r="A72" s="44"/>
      <c r="B72" s="106"/>
      <c r="C72" s="106"/>
      <c r="D72" s="106"/>
      <c r="E72" s="106"/>
      <c r="F72" s="106"/>
      <c r="G72" s="106"/>
      <c r="H72" s="106"/>
      <c r="I72" s="106"/>
      <c r="J72" s="106"/>
      <c r="K72" s="106"/>
      <c r="L72" s="106"/>
      <c r="M72" s="106"/>
      <c r="N72" s="106"/>
      <c r="O72" s="106"/>
      <c r="P72" s="106"/>
      <c r="Q72" s="106"/>
      <c r="R72" s="106"/>
      <c r="S72" s="106"/>
      <c r="T72" s="44"/>
      <c r="U72" s="44"/>
      <c r="V72" s="44"/>
      <c r="W72" s="44"/>
      <c r="X72" s="44"/>
      <c r="Y72" s="44"/>
      <c r="Z72" s="44"/>
      <c r="AA72" s="44"/>
      <c r="AB72" s="44"/>
      <c r="AC72" s="44"/>
      <c r="AD72" s="44"/>
      <c r="AE72" s="44"/>
      <c r="AF72" s="44"/>
      <c r="AG72" s="44"/>
      <c r="AH72" s="44"/>
      <c r="AI72" s="44"/>
      <c r="AJ72" s="44"/>
      <c r="AK72" s="44"/>
      <c r="AL72" s="44"/>
    </row>
    <row r="73" spans="1:40">
      <c r="A73" s="44"/>
      <c r="B73" s="106"/>
      <c r="C73" s="106"/>
      <c r="D73" s="106"/>
      <c r="E73" s="106"/>
      <c r="F73" s="106"/>
      <c r="G73" s="106"/>
      <c r="H73" s="106"/>
      <c r="I73" s="106"/>
      <c r="J73" s="106"/>
      <c r="K73" s="106"/>
      <c r="L73" s="106"/>
      <c r="M73" s="106"/>
      <c r="N73" s="106"/>
      <c r="O73" s="106"/>
      <c r="P73" s="106"/>
      <c r="Q73" s="106"/>
      <c r="R73" s="106"/>
      <c r="S73" s="106"/>
      <c r="T73" s="44"/>
      <c r="U73" s="44"/>
      <c r="V73" s="44"/>
      <c r="W73" s="44"/>
      <c r="X73" s="44"/>
      <c r="Y73" s="44"/>
      <c r="Z73" s="44"/>
      <c r="AA73" s="44"/>
      <c r="AB73" s="44"/>
      <c r="AC73" s="44"/>
      <c r="AD73" s="44"/>
      <c r="AE73" s="44"/>
      <c r="AF73" s="44"/>
      <c r="AG73" s="44"/>
      <c r="AH73" s="44"/>
      <c r="AI73" s="44"/>
      <c r="AJ73" s="44"/>
      <c r="AK73" s="44"/>
      <c r="AL73" s="44"/>
    </row>
    <row r="74" spans="1:40">
      <c r="A74" s="44"/>
      <c r="B74" s="106"/>
      <c r="C74" s="106"/>
      <c r="D74" s="106"/>
      <c r="E74" s="106"/>
      <c r="F74" s="106"/>
      <c r="G74" s="106"/>
      <c r="H74" s="106"/>
      <c r="I74" s="106"/>
      <c r="J74" s="106"/>
      <c r="K74" s="106"/>
      <c r="L74" s="106"/>
      <c r="M74" s="106"/>
      <c r="N74" s="106"/>
      <c r="O74" s="106"/>
      <c r="P74" s="106"/>
      <c r="Q74" s="106"/>
      <c r="R74" s="106"/>
      <c r="S74" s="106"/>
      <c r="T74" s="44"/>
      <c r="U74" s="44"/>
      <c r="V74" s="44"/>
      <c r="W74" s="44"/>
      <c r="X74" s="44"/>
      <c r="Y74" s="44"/>
      <c r="Z74" s="44"/>
      <c r="AA74" s="44"/>
      <c r="AB74" s="44"/>
      <c r="AC74" s="44"/>
      <c r="AD74" s="44"/>
      <c r="AE74" s="44"/>
      <c r="AF74" s="44"/>
      <c r="AG74" s="44"/>
      <c r="AH74" s="44"/>
      <c r="AI74" s="44"/>
      <c r="AJ74" s="44"/>
      <c r="AK74" s="44"/>
      <c r="AL74" s="44"/>
    </row>
    <row r="75" spans="1:40">
      <c r="A75" s="44"/>
      <c r="B75" s="106"/>
      <c r="C75" s="106"/>
      <c r="D75" s="106"/>
      <c r="E75" s="106"/>
      <c r="F75" s="106"/>
      <c r="G75" s="106"/>
      <c r="H75" s="106"/>
      <c r="I75" s="106"/>
      <c r="J75" s="106"/>
      <c r="K75" s="106"/>
      <c r="L75" s="106"/>
      <c r="M75" s="106"/>
      <c r="N75" s="106"/>
      <c r="O75" s="106"/>
      <c r="P75" s="106"/>
      <c r="Q75" s="106"/>
      <c r="R75" s="106"/>
      <c r="S75" s="106"/>
      <c r="T75" s="44"/>
      <c r="U75" s="44"/>
      <c r="V75" s="44"/>
      <c r="W75" s="44"/>
      <c r="X75" s="44"/>
      <c r="Y75" s="44"/>
      <c r="Z75" s="44"/>
      <c r="AA75" s="44"/>
      <c r="AB75" s="44"/>
      <c r="AC75" s="44"/>
      <c r="AD75" s="44"/>
      <c r="AE75" s="44"/>
      <c r="AF75" s="44"/>
      <c r="AG75" s="44"/>
      <c r="AH75" s="44"/>
      <c r="AI75" s="44"/>
      <c r="AJ75" s="44"/>
      <c r="AK75" s="44"/>
      <c r="AL75" s="44"/>
    </row>
    <row r="76" spans="1:40">
      <c r="A76" s="44"/>
      <c r="B76" s="106"/>
      <c r="C76" s="106"/>
      <c r="D76" s="106"/>
      <c r="E76" s="106"/>
      <c r="F76" s="106"/>
      <c r="G76" s="106"/>
      <c r="H76" s="106"/>
      <c r="I76" s="106"/>
      <c r="J76" s="106"/>
      <c r="K76" s="106"/>
      <c r="L76" s="106"/>
      <c r="M76" s="106"/>
      <c r="N76" s="106"/>
      <c r="O76" s="106"/>
      <c r="P76" s="106"/>
      <c r="Q76" s="106"/>
      <c r="R76" s="106"/>
      <c r="S76" s="106"/>
      <c r="T76" s="44"/>
      <c r="U76" s="44"/>
      <c r="V76" s="44"/>
      <c r="W76" s="44"/>
      <c r="X76" s="44"/>
      <c r="Y76" s="44"/>
      <c r="Z76" s="44"/>
      <c r="AA76" s="44"/>
      <c r="AB76" s="44"/>
      <c r="AC76" s="44"/>
      <c r="AD76" s="44"/>
      <c r="AE76" s="44"/>
      <c r="AF76" s="44"/>
      <c r="AG76" s="44"/>
      <c r="AH76" s="44"/>
      <c r="AI76" s="44"/>
      <c r="AJ76" s="44"/>
      <c r="AK76" s="44"/>
      <c r="AL76" s="44"/>
    </row>
    <row r="77" spans="1:40">
      <c r="A77" s="44"/>
      <c r="B77" s="106"/>
      <c r="C77" s="106"/>
      <c r="D77" s="106"/>
      <c r="E77" s="106"/>
      <c r="F77" s="106"/>
      <c r="G77" s="106"/>
      <c r="H77" s="106"/>
      <c r="I77" s="106"/>
      <c r="J77" s="106"/>
      <c r="K77" s="106"/>
      <c r="L77" s="106"/>
      <c r="M77" s="106"/>
      <c r="N77" s="106"/>
      <c r="O77" s="106"/>
      <c r="P77" s="106"/>
      <c r="Q77" s="106"/>
      <c r="R77" s="106"/>
      <c r="S77" s="106"/>
      <c r="T77" s="44"/>
      <c r="U77" s="44"/>
      <c r="V77" s="44"/>
      <c r="W77" s="44"/>
      <c r="X77" s="44"/>
      <c r="Y77" s="44"/>
      <c r="Z77" s="44"/>
      <c r="AA77" s="44"/>
      <c r="AB77" s="44"/>
      <c r="AC77" s="44"/>
      <c r="AD77" s="44"/>
      <c r="AE77" s="44"/>
      <c r="AF77" s="44"/>
      <c r="AG77" s="44"/>
      <c r="AH77" s="44"/>
      <c r="AI77" s="44"/>
      <c r="AJ77" s="44"/>
      <c r="AK77" s="44"/>
      <c r="AL77" s="44"/>
    </row>
    <row r="78" spans="1:40">
      <c r="A78" s="44"/>
      <c r="B78" s="106"/>
      <c r="C78" s="106"/>
      <c r="D78" s="106"/>
      <c r="E78" s="106"/>
      <c r="F78" s="106"/>
      <c r="G78" s="106"/>
      <c r="H78" s="106"/>
      <c r="I78" s="106"/>
      <c r="J78" s="106"/>
      <c r="K78" s="106"/>
      <c r="L78" s="106"/>
      <c r="M78" s="106"/>
      <c r="N78" s="106"/>
      <c r="O78" s="106"/>
      <c r="P78" s="106"/>
      <c r="Q78" s="106"/>
      <c r="R78" s="106"/>
      <c r="S78" s="106"/>
      <c r="T78" s="44"/>
      <c r="U78" s="44"/>
      <c r="V78" s="44"/>
      <c r="W78" s="44"/>
      <c r="X78" s="44"/>
      <c r="Y78" s="44"/>
      <c r="Z78" s="44"/>
      <c r="AA78" s="44"/>
      <c r="AB78" s="44"/>
      <c r="AC78" s="44"/>
      <c r="AD78" s="44"/>
      <c r="AE78" s="44"/>
      <c r="AF78" s="44"/>
      <c r="AG78" s="44"/>
      <c r="AH78" s="44"/>
      <c r="AI78" s="44"/>
      <c r="AJ78" s="44"/>
      <c r="AK78" s="44"/>
      <c r="AL78" s="44"/>
    </row>
    <row r="79" spans="1:40">
      <c r="A79" s="44"/>
      <c r="B79" s="106"/>
      <c r="C79" s="106"/>
      <c r="D79" s="106"/>
      <c r="E79" s="106"/>
      <c r="F79" s="106"/>
      <c r="G79" s="106"/>
      <c r="H79" s="106"/>
      <c r="I79" s="106"/>
      <c r="J79" s="106"/>
      <c r="K79" s="106"/>
      <c r="L79" s="106"/>
      <c r="M79" s="106"/>
      <c r="N79" s="106"/>
      <c r="O79" s="106"/>
      <c r="P79" s="106"/>
      <c r="Q79" s="106"/>
      <c r="R79" s="106"/>
      <c r="S79" s="106"/>
      <c r="T79" s="44"/>
      <c r="U79" s="44"/>
      <c r="V79" s="44"/>
      <c r="W79" s="44"/>
      <c r="X79" s="44"/>
      <c r="Y79" s="44"/>
      <c r="Z79" s="44"/>
      <c r="AA79" s="44"/>
      <c r="AB79" s="44"/>
      <c r="AC79" s="44"/>
      <c r="AD79" s="44"/>
      <c r="AE79" s="44"/>
      <c r="AF79" s="44"/>
      <c r="AG79" s="44"/>
      <c r="AH79" s="44"/>
      <c r="AI79" s="44"/>
      <c r="AJ79" s="44"/>
      <c r="AK79" s="44"/>
      <c r="AL79" s="44"/>
    </row>
    <row r="80" spans="1:40">
      <c r="A80" s="44"/>
      <c r="B80" s="106"/>
      <c r="C80" s="106"/>
      <c r="D80" s="106"/>
      <c r="E80" s="106"/>
      <c r="F80" s="106"/>
      <c r="G80" s="106"/>
      <c r="H80" s="106"/>
      <c r="I80" s="106"/>
      <c r="J80" s="106"/>
      <c r="K80" s="106"/>
      <c r="L80" s="106"/>
      <c r="M80" s="106"/>
      <c r="N80" s="106"/>
      <c r="O80" s="106"/>
      <c r="P80" s="106"/>
      <c r="Q80" s="106"/>
      <c r="R80" s="106"/>
      <c r="S80" s="106"/>
      <c r="T80" s="44"/>
      <c r="U80" s="44"/>
      <c r="V80" s="44"/>
      <c r="W80" s="44"/>
      <c r="X80" s="44"/>
      <c r="Y80" s="44"/>
      <c r="Z80" s="44"/>
      <c r="AA80" s="44"/>
      <c r="AB80" s="44"/>
      <c r="AC80" s="44"/>
      <c r="AD80" s="44"/>
      <c r="AE80" s="44"/>
      <c r="AF80" s="44"/>
      <c r="AG80" s="44"/>
      <c r="AH80" s="44"/>
      <c r="AI80" s="44"/>
      <c r="AJ80" s="44"/>
      <c r="AK80" s="44"/>
      <c r="AL80" s="44"/>
    </row>
    <row r="81" spans="1:38">
      <c r="A81" s="44"/>
      <c r="B81" s="106"/>
      <c r="C81" s="106"/>
      <c r="D81" s="106"/>
      <c r="E81" s="106"/>
      <c r="F81" s="106"/>
      <c r="G81" s="106"/>
      <c r="H81" s="106"/>
      <c r="I81" s="106"/>
      <c r="J81" s="106"/>
      <c r="K81" s="106"/>
      <c r="L81" s="106"/>
      <c r="M81" s="106"/>
      <c r="N81" s="106"/>
      <c r="O81" s="106"/>
      <c r="P81" s="106"/>
      <c r="Q81" s="106"/>
      <c r="R81" s="106"/>
      <c r="S81" s="106"/>
      <c r="T81" s="44"/>
      <c r="U81" s="44"/>
      <c r="V81" s="44"/>
      <c r="W81" s="44"/>
      <c r="X81" s="44"/>
      <c r="Y81" s="44"/>
      <c r="Z81" s="44"/>
      <c r="AA81" s="44"/>
      <c r="AB81" s="44"/>
      <c r="AC81" s="44"/>
      <c r="AD81" s="44"/>
      <c r="AE81" s="44"/>
      <c r="AF81" s="44"/>
      <c r="AG81" s="44"/>
      <c r="AH81" s="44"/>
      <c r="AI81" s="44"/>
      <c r="AJ81" s="44"/>
      <c r="AK81" s="44"/>
      <c r="AL81" s="44"/>
    </row>
    <row r="82" spans="1:38">
      <c r="A82" s="44"/>
      <c r="B82" s="106"/>
      <c r="C82" s="106"/>
      <c r="D82" s="106"/>
      <c r="E82" s="106"/>
      <c r="F82" s="106"/>
      <c r="G82" s="106"/>
      <c r="H82" s="106"/>
      <c r="I82" s="106"/>
      <c r="J82" s="106"/>
      <c r="K82" s="106"/>
      <c r="L82" s="106"/>
      <c r="M82" s="106"/>
      <c r="N82" s="106"/>
      <c r="O82" s="106"/>
      <c r="P82" s="106"/>
      <c r="Q82" s="106"/>
      <c r="R82" s="106"/>
      <c r="S82" s="106"/>
      <c r="T82" s="44"/>
      <c r="U82" s="44"/>
      <c r="V82" s="44"/>
      <c r="W82" s="44"/>
      <c r="X82" s="44"/>
      <c r="Y82" s="44"/>
      <c r="Z82" s="44"/>
      <c r="AA82" s="44"/>
      <c r="AB82" s="44"/>
      <c r="AC82" s="44"/>
      <c r="AD82" s="44"/>
      <c r="AE82" s="44"/>
      <c r="AF82" s="44"/>
      <c r="AG82" s="44"/>
      <c r="AH82" s="44"/>
      <c r="AI82" s="44"/>
      <c r="AJ82" s="44"/>
      <c r="AK82" s="44"/>
      <c r="AL82" s="44"/>
    </row>
    <row r="83" spans="1:38">
      <c r="A83" s="44"/>
      <c r="B83" s="106"/>
      <c r="C83" s="106"/>
      <c r="D83" s="106"/>
      <c r="E83" s="106"/>
      <c r="F83" s="106"/>
      <c r="G83" s="106"/>
      <c r="H83" s="106"/>
      <c r="I83" s="106"/>
      <c r="J83" s="106"/>
      <c r="K83" s="106"/>
      <c r="L83" s="106"/>
      <c r="M83" s="106"/>
      <c r="N83" s="106"/>
      <c r="O83" s="106"/>
      <c r="P83" s="106"/>
      <c r="Q83" s="106"/>
      <c r="R83" s="106"/>
      <c r="S83" s="106"/>
      <c r="T83" s="44"/>
      <c r="U83" s="44"/>
      <c r="V83" s="44"/>
      <c r="W83" s="44"/>
      <c r="X83" s="44"/>
      <c r="Y83" s="44"/>
      <c r="Z83" s="44"/>
      <c r="AA83" s="44"/>
      <c r="AB83" s="44"/>
      <c r="AC83" s="44"/>
      <c r="AD83" s="44"/>
      <c r="AE83" s="44"/>
      <c r="AF83" s="44"/>
      <c r="AG83" s="44"/>
      <c r="AH83" s="44"/>
      <c r="AI83" s="44"/>
      <c r="AJ83" s="44"/>
      <c r="AK83" s="44"/>
      <c r="AL83" s="44"/>
    </row>
    <row r="84" spans="1:38">
      <c r="A84" s="44"/>
      <c r="B84" s="106"/>
      <c r="C84" s="106"/>
      <c r="D84" s="106"/>
      <c r="E84" s="106"/>
      <c r="F84" s="106"/>
      <c r="G84" s="106"/>
      <c r="H84" s="106"/>
      <c r="I84" s="106"/>
      <c r="J84" s="106"/>
      <c r="K84" s="106"/>
      <c r="L84" s="106"/>
      <c r="M84" s="106"/>
      <c r="N84" s="106"/>
      <c r="O84" s="106"/>
      <c r="P84" s="106"/>
      <c r="Q84" s="106"/>
      <c r="R84" s="106"/>
      <c r="S84" s="106"/>
      <c r="T84" s="44"/>
      <c r="U84" s="44"/>
      <c r="V84" s="44"/>
      <c r="W84" s="44"/>
      <c r="X84" s="44"/>
      <c r="Y84" s="44"/>
      <c r="Z84" s="44"/>
      <c r="AA84" s="44"/>
      <c r="AB84" s="44"/>
      <c r="AC84" s="44"/>
      <c r="AD84" s="44"/>
      <c r="AE84" s="44"/>
      <c r="AF84" s="44"/>
      <c r="AG84" s="44"/>
      <c r="AH84" s="44"/>
      <c r="AI84" s="44"/>
      <c r="AJ84" s="44"/>
      <c r="AK84" s="44"/>
      <c r="AL84" s="44"/>
    </row>
    <row r="85" spans="1:38">
      <c r="A85" s="44"/>
      <c r="B85" s="106"/>
      <c r="C85" s="106"/>
      <c r="D85" s="106"/>
      <c r="E85" s="106"/>
      <c r="F85" s="106"/>
      <c r="G85" s="106"/>
      <c r="H85" s="106"/>
      <c r="I85" s="106"/>
      <c r="J85" s="106"/>
      <c r="K85" s="106"/>
      <c r="L85" s="106"/>
      <c r="M85" s="106"/>
      <c r="N85" s="106"/>
      <c r="O85" s="106"/>
      <c r="P85" s="106"/>
      <c r="Q85" s="106"/>
      <c r="R85" s="106"/>
      <c r="S85" s="106"/>
      <c r="T85" s="44"/>
      <c r="U85" s="44"/>
      <c r="V85" s="44"/>
      <c r="W85" s="44"/>
      <c r="X85" s="44"/>
      <c r="Y85" s="44"/>
      <c r="Z85" s="44"/>
      <c r="AA85" s="44"/>
      <c r="AB85" s="44"/>
      <c r="AC85" s="44"/>
      <c r="AD85" s="44"/>
      <c r="AE85" s="44"/>
      <c r="AF85" s="44"/>
      <c r="AG85" s="44"/>
      <c r="AH85" s="44"/>
      <c r="AI85" s="44"/>
      <c r="AJ85" s="44"/>
      <c r="AK85" s="44"/>
      <c r="AL85" s="44"/>
    </row>
    <row r="86" spans="1:38">
      <c r="A86" s="44"/>
      <c r="B86" s="106"/>
      <c r="C86" s="106"/>
      <c r="D86" s="106"/>
      <c r="E86" s="106"/>
      <c r="F86" s="106"/>
      <c r="G86" s="106"/>
      <c r="H86" s="106"/>
      <c r="I86" s="106"/>
      <c r="J86" s="106"/>
      <c r="K86" s="106"/>
      <c r="L86" s="106"/>
      <c r="M86" s="106"/>
      <c r="N86" s="106"/>
      <c r="O86" s="106"/>
      <c r="P86" s="106"/>
      <c r="Q86" s="106"/>
      <c r="R86" s="106"/>
      <c r="S86" s="106"/>
      <c r="T86" s="44"/>
      <c r="U86" s="44"/>
      <c r="V86" s="44"/>
      <c r="W86" s="44"/>
      <c r="X86" s="44"/>
      <c r="Y86" s="44"/>
      <c r="Z86" s="44"/>
      <c r="AA86" s="44"/>
      <c r="AB86" s="44"/>
      <c r="AC86" s="44"/>
      <c r="AD86" s="44"/>
      <c r="AE86" s="44"/>
      <c r="AF86" s="44"/>
      <c r="AG86" s="44"/>
      <c r="AH86" s="44"/>
      <c r="AI86" s="44"/>
      <c r="AJ86" s="44"/>
      <c r="AK86" s="44"/>
      <c r="AL86" s="44"/>
    </row>
    <row r="87" spans="1:38">
      <c r="A87" s="44"/>
      <c r="B87" s="106"/>
      <c r="C87" s="106"/>
      <c r="D87" s="106"/>
      <c r="E87" s="106"/>
      <c r="F87" s="106"/>
      <c r="G87" s="106"/>
      <c r="H87" s="106"/>
      <c r="I87" s="106"/>
      <c r="J87" s="106"/>
      <c r="K87" s="106"/>
      <c r="L87" s="106"/>
      <c r="M87" s="106"/>
      <c r="N87" s="106"/>
      <c r="O87" s="106"/>
      <c r="P87" s="106"/>
      <c r="Q87" s="106"/>
      <c r="R87" s="106"/>
      <c r="S87" s="106"/>
      <c r="T87" s="44"/>
      <c r="U87" s="44"/>
      <c r="V87" s="44"/>
      <c r="W87" s="44"/>
      <c r="X87" s="44"/>
      <c r="Y87" s="44"/>
      <c r="Z87" s="44"/>
      <c r="AA87" s="44"/>
      <c r="AB87" s="44"/>
      <c r="AC87" s="44"/>
      <c r="AD87" s="44"/>
      <c r="AE87" s="44"/>
      <c r="AF87" s="44"/>
      <c r="AG87" s="44"/>
      <c r="AH87" s="44"/>
      <c r="AI87" s="44"/>
      <c r="AJ87" s="44"/>
      <c r="AK87" s="44"/>
      <c r="AL87" s="44"/>
    </row>
    <row r="88" spans="1:38">
      <c r="A88" s="44"/>
      <c r="B88" s="106"/>
      <c r="C88" s="106"/>
      <c r="D88" s="106"/>
      <c r="E88" s="106"/>
      <c r="F88" s="106"/>
      <c r="G88" s="106"/>
      <c r="H88" s="106"/>
      <c r="I88" s="106"/>
      <c r="J88" s="106"/>
      <c r="K88" s="106"/>
      <c r="L88" s="106"/>
      <c r="M88" s="106"/>
      <c r="N88" s="106"/>
      <c r="O88" s="106"/>
      <c r="P88" s="106"/>
      <c r="Q88" s="106"/>
      <c r="R88" s="106"/>
      <c r="S88" s="106"/>
      <c r="T88" s="44"/>
      <c r="U88" s="44"/>
      <c r="V88" s="44"/>
      <c r="W88" s="44"/>
      <c r="X88" s="44"/>
      <c r="Y88" s="44"/>
      <c r="Z88" s="44"/>
      <c r="AA88" s="44"/>
      <c r="AB88" s="44"/>
      <c r="AC88" s="44"/>
      <c r="AD88" s="44"/>
      <c r="AE88" s="44"/>
      <c r="AF88" s="44"/>
      <c r="AG88" s="44"/>
      <c r="AH88" s="44"/>
      <c r="AI88" s="44"/>
      <c r="AJ88" s="44"/>
      <c r="AK88" s="44"/>
      <c r="AL88" s="44"/>
    </row>
    <row r="89" spans="1:38">
      <c r="A89" s="44"/>
      <c r="B89" s="106"/>
      <c r="C89" s="106"/>
      <c r="D89" s="106"/>
      <c r="E89" s="106"/>
      <c r="F89" s="106"/>
      <c r="G89" s="106"/>
      <c r="H89" s="106"/>
      <c r="I89" s="106"/>
      <c r="J89" s="106"/>
      <c r="K89" s="106"/>
      <c r="L89" s="106"/>
      <c r="M89" s="106"/>
      <c r="N89" s="106"/>
      <c r="O89" s="106"/>
      <c r="P89" s="106"/>
      <c r="Q89" s="106"/>
      <c r="R89" s="106"/>
      <c r="S89" s="106"/>
      <c r="T89" s="44"/>
      <c r="U89" s="44"/>
      <c r="V89" s="44"/>
      <c r="W89" s="44"/>
      <c r="X89" s="44"/>
      <c r="Y89" s="44"/>
      <c r="Z89" s="44"/>
      <c r="AA89" s="44"/>
      <c r="AB89" s="44"/>
      <c r="AC89" s="44"/>
      <c r="AD89" s="44"/>
      <c r="AE89" s="44"/>
      <c r="AF89" s="44"/>
      <c r="AG89" s="44"/>
      <c r="AH89" s="44"/>
      <c r="AI89" s="44"/>
      <c r="AJ89" s="44"/>
      <c r="AK89" s="44"/>
      <c r="AL89" s="44"/>
    </row>
    <row r="90" spans="1:38">
      <c r="A90" s="44"/>
      <c r="B90" s="106"/>
      <c r="C90" s="106"/>
      <c r="D90" s="106"/>
      <c r="E90" s="106"/>
      <c r="F90" s="106"/>
      <c r="G90" s="106"/>
      <c r="H90" s="106"/>
      <c r="I90" s="106"/>
      <c r="J90" s="106"/>
      <c r="K90" s="106"/>
      <c r="L90" s="106"/>
      <c r="M90" s="106"/>
      <c r="N90" s="106"/>
      <c r="O90" s="106"/>
      <c r="P90" s="106"/>
      <c r="Q90" s="106"/>
      <c r="R90" s="106"/>
      <c r="S90" s="106"/>
      <c r="T90" s="44"/>
      <c r="U90" s="44"/>
      <c r="V90" s="44"/>
      <c r="W90" s="44"/>
      <c r="X90" s="44"/>
      <c r="Y90" s="44"/>
      <c r="Z90" s="44"/>
      <c r="AA90" s="44"/>
      <c r="AB90" s="44"/>
      <c r="AC90" s="44"/>
      <c r="AD90" s="44"/>
      <c r="AE90" s="44"/>
      <c r="AF90" s="44"/>
      <c r="AG90" s="44"/>
      <c r="AH90" s="44"/>
      <c r="AI90" s="44"/>
      <c r="AJ90" s="44"/>
      <c r="AK90" s="44"/>
      <c r="AL90" s="44"/>
    </row>
    <row r="91" spans="1:38">
      <c r="A91" s="44"/>
      <c r="B91" s="106"/>
      <c r="C91" s="106"/>
      <c r="D91" s="106"/>
      <c r="E91" s="106"/>
      <c r="F91" s="106"/>
      <c r="G91" s="106"/>
      <c r="H91" s="106"/>
      <c r="I91" s="106"/>
      <c r="J91" s="106"/>
      <c r="K91" s="106"/>
      <c r="L91" s="106"/>
      <c r="M91" s="106"/>
      <c r="N91" s="106"/>
      <c r="O91" s="106"/>
      <c r="P91" s="106"/>
      <c r="Q91" s="106"/>
      <c r="R91" s="106"/>
      <c r="S91" s="106"/>
      <c r="T91" s="44"/>
      <c r="U91" s="44"/>
      <c r="V91" s="44"/>
      <c r="W91" s="44"/>
      <c r="X91" s="44"/>
      <c r="Y91" s="44"/>
      <c r="Z91" s="44"/>
      <c r="AA91" s="44"/>
      <c r="AB91" s="44"/>
      <c r="AC91" s="44"/>
      <c r="AD91" s="44"/>
      <c r="AE91" s="44"/>
      <c r="AF91" s="44"/>
      <c r="AG91" s="44"/>
      <c r="AH91" s="44"/>
      <c r="AI91" s="44"/>
      <c r="AJ91" s="44"/>
      <c r="AK91" s="44"/>
      <c r="AL91" s="44"/>
    </row>
    <row r="92" spans="1:38">
      <c r="A92" s="44"/>
      <c r="B92" s="106"/>
      <c r="C92" s="106"/>
      <c r="D92" s="106"/>
      <c r="E92" s="106"/>
      <c r="F92" s="106"/>
      <c r="G92" s="106"/>
      <c r="H92" s="106"/>
      <c r="I92" s="106"/>
      <c r="J92" s="106"/>
      <c r="K92" s="106"/>
      <c r="L92" s="106"/>
      <c r="M92" s="106"/>
      <c r="N92" s="106"/>
      <c r="O92" s="106"/>
      <c r="P92" s="106"/>
      <c r="Q92" s="106"/>
      <c r="R92" s="106"/>
      <c r="S92" s="106"/>
      <c r="T92" s="44"/>
      <c r="U92" s="44"/>
      <c r="V92" s="44"/>
      <c r="W92" s="44"/>
      <c r="X92" s="44"/>
      <c r="Y92" s="44"/>
      <c r="Z92" s="44"/>
      <c r="AA92" s="44"/>
      <c r="AB92" s="44"/>
      <c r="AC92" s="44"/>
      <c r="AD92" s="44"/>
      <c r="AE92" s="44"/>
      <c r="AF92" s="44"/>
      <c r="AG92" s="44"/>
      <c r="AH92" s="44"/>
      <c r="AI92" s="44"/>
      <c r="AJ92" s="44"/>
      <c r="AK92" s="44"/>
      <c r="AL92" s="44"/>
    </row>
    <row r="93" spans="1:38">
      <c r="A93" s="44"/>
      <c r="B93" s="106"/>
      <c r="C93" s="106"/>
      <c r="D93" s="106"/>
      <c r="E93" s="106"/>
      <c r="F93" s="106"/>
      <c r="G93" s="106"/>
      <c r="H93" s="106"/>
      <c r="I93" s="106"/>
      <c r="J93" s="106"/>
      <c r="K93" s="106"/>
      <c r="L93" s="106"/>
      <c r="M93" s="106"/>
      <c r="N93" s="106"/>
      <c r="O93" s="106"/>
      <c r="P93" s="106"/>
      <c r="Q93" s="106"/>
      <c r="R93" s="106"/>
      <c r="S93" s="106"/>
      <c r="T93" s="44"/>
      <c r="U93" s="44"/>
      <c r="V93" s="44"/>
      <c r="W93" s="44"/>
      <c r="X93" s="44"/>
      <c r="Y93" s="44"/>
      <c r="Z93" s="44"/>
      <c r="AA93" s="44"/>
      <c r="AB93" s="44"/>
      <c r="AC93" s="44"/>
      <c r="AD93" s="44"/>
      <c r="AE93" s="44"/>
      <c r="AF93" s="44"/>
      <c r="AG93" s="44"/>
      <c r="AH93" s="44"/>
      <c r="AI93" s="44"/>
      <c r="AJ93" s="44"/>
      <c r="AK93" s="44"/>
      <c r="AL93" s="44"/>
    </row>
    <row r="94" spans="1:38">
      <c r="A94" s="44"/>
      <c r="B94" s="106"/>
      <c r="C94" s="106"/>
      <c r="D94" s="106"/>
      <c r="E94" s="106"/>
      <c r="F94" s="106"/>
      <c r="G94" s="106"/>
      <c r="H94" s="106"/>
      <c r="I94" s="106"/>
      <c r="J94" s="106"/>
      <c r="K94" s="106"/>
      <c r="L94" s="106"/>
      <c r="M94" s="106"/>
      <c r="N94" s="106"/>
      <c r="O94" s="106"/>
      <c r="P94" s="106"/>
      <c r="Q94" s="106"/>
      <c r="R94" s="106"/>
      <c r="S94" s="106"/>
      <c r="T94" s="44"/>
      <c r="U94" s="44"/>
      <c r="V94" s="44"/>
      <c r="W94" s="44"/>
      <c r="X94" s="44"/>
      <c r="Y94" s="44"/>
      <c r="Z94" s="44"/>
      <c r="AA94" s="44"/>
      <c r="AB94" s="44"/>
      <c r="AC94" s="44"/>
      <c r="AD94" s="44"/>
      <c r="AE94" s="44"/>
      <c r="AF94" s="44"/>
      <c r="AG94" s="44"/>
      <c r="AH94" s="44"/>
      <c r="AI94" s="44"/>
      <c r="AJ94" s="44"/>
      <c r="AK94" s="44"/>
      <c r="AL94" s="44"/>
    </row>
    <row r="95" spans="1:38">
      <c r="A95" s="44"/>
      <c r="B95" s="106"/>
      <c r="C95" s="106"/>
      <c r="D95" s="106"/>
      <c r="E95" s="106"/>
      <c r="F95" s="106"/>
      <c r="G95" s="106"/>
      <c r="H95" s="106"/>
      <c r="I95" s="106"/>
      <c r="J95" s="106"/>
      <c r="K95" s="106"/>
      <c r="L95" s="106"/>
      <c r="M95" s="106"/>
      <c r="N95" s="106"/>
      <c r="O95" s="106"/>
      <c r="P95" s="106"/>
      <c r="Q95" s="106"/>
      <c r="R95" s="106"/>
      <c r="S95" s="106"/>
      <c r="T95" s="44"/>
      <c r="U95" s="44"/>
      <c r="V95" s="44"/>
      <c r="W95" s="44"/>
      <c r="X95" s="44"/>
      <c r="Y95" s="44"/>
      <c r="Z95" s="44"/>
      <c r="AA95" s="44"/>
      <c r="AB95" s="44"/>
      <c r="AC95" s="44"/>
      <c r="AD95" s="44"/>
      <c r="AE95" s="44"/>
      <c r="AF95" s="44"/>
      <c r="AG95" s="44"/>
      <c r="AH95" s="44"/>
      <c r="AI95" s="44"/>
      <c r="AJ95" s="44"/>
      <c r="AK95" s="44"/>
      <c r="AL95" s="44"/>
    </row>
    <row r="96" spans="1:38">
      <c r="A96" s="44"/>
      <c r="B96" s="106"/>
      <c r="C96" s="106"/>
      <c r="D96" s="106"/>
      <c r="E96" s="106"/>
      <c r="F96" s="106"/>
      <c r="G96" s="106"/>
      <c r="H96" s="106"/>
      <c r="I96" s="106"/>
      <c r="J96" s="106"/>
      <c r="K96" s="106"/>
      <c r="L96" s="106"/>
      <c r="M96" s="106"/>
      <c r="N96" s="106"/>
      <c r="O96" s="106"/>
      <c r="P96" s="106"/>
      <c r="Q96" s="106"/>
      <c r="R96" s="106"/>
      <c r="S96" s="106"/>
      <c r="T96" s="44"/>
      <c r="U96" s="44"/>
      <c r="V96" s="44"/>
      <c r="W96" s="44"/>
      <c r="X96" s="44"/>
      <c r="Y96" s="44"/>
      <c r="Z96" s="44"/>
      <c r="AA96" s="44"/>
      <c r="AB96" s="44"/>
      <c r="AC96" s="44"/>
      <c r="AD96" s="44"/>
      <c r="AE96" s="44"/>
      <c r="AF96" s="44"/>
      <c r="AG96" s="44"/>
      <c r="AH96" s="44"/>
      <c r="AI96" s="44"/>
      <c r="AJ96" s="44"/>
      <c r="AK96" s="44"/>
      <c r="AL96" s="44"/>
    </row>
    <row r="97" spans="1:38">
      <c r="A97" s="44"/>
      <c r="B97" s="106"/>
      <c r="C97" s="106"/>
      <c r="D97" s="106"/>
      <c r="E97" s="106"/>
      <c r="F97" s="106"/>
      <c r="G97" s="106"/>
      <c r="H97" s="106"/>
      <c r="I97" s="106"/>
      <c r="J97" s="106"/>
      <c r="K97" s="106"/>
      <c r="L97" s="106"/>
      <c r="M97" s="106"/>
      <c r="N97" s="106"/>
      <c r="O97" s="106"/>
      <c r="P97" s="106"/>
      <c r="Q97" s="106"/>
      <c r="R97" s="106"/>
      <c r="S97" s="106"/>
      <c r="T97" s="44"/>
      <c r="U97" s="44"/>
      <c r="V97" s="44"/>
      <c r="W97" s="44"/>
      <c r="X97" s="44"/>
      <c r="Y97" s="44"/>
      <c r="Z97" s="44"/>
      <c r="AA97" s="44"/>
      <c r="AB97" s="44"/>
      <c r="AC97" s="44"/>
      <c r="AD97" s="44"/>
      <c r="AE97" s="44"/>
      <c r="AF97" s="44"/>
      <c r="AG97" s="44"/>
      <c r="AH97" s="44"/>
      <c r="AI97" s="44"/>
      <c r="AJ97" s="44"/>
      <c r="AK97" s="44"/>
      <c r="AL97" s="44"/>
    </row>
    <row r="98" spans="1:38">
      <c r="A98" s="44"/>
      <c r="B98" s="106"/>
      <c r="C98" s="106"/>
      <c r="D98" s="106"/>
      <c r="E98" s="106"/>
      <c r="F98" s="106"/>
      <c r="G98" s="106"/>
      <c r="H98" s="106"/>
      <c r="I98" s="106"/>
      <c r="J98" s="106"/>
      <c r="K98" s="106"/>
      <c r="L98" s="106"/>
      <c r="M98" s="106"/>
      <c r="N98" s="106"/>
      <c r="O98" s="106"/>
      <c r="P98" s="106"/>
      <c r="Q98" s="106"/>
      <c r="R98" s="106"/>
      <c r="S98" s="106"/>
      <c r="T98" s="44"/>
      <c r="U98" s="44"/>
      <c r="V98" s="44"/>
      <c r="W98" s="44"/>
      <c r="X98" s="44"/>
      <c r="Y98" s="44"/>
      <c r="Z98" s="44"/>
      <c r="AA98" s="44"/>
      <c r="AB98" s="44"/>
      <c r="AC98" s="44"/>
      <c r="AD98" s="44"/>
      <c r="AE98" s="44"/>
      <c r="AF98" s="44"/>
      <c r="AG98" s="44"/>
      <c r="AH98" s="44"/>
      <c r="AI98" s="44"/>
      <c r="AJ98" s="44"/>
      <c r="AK98" s="44"/>
      <c r="AL98" s="44"/>
    </row>
    <row r="99" spans="1:38">
      <c r="A99" s="44"/>
      <c r="B99" s="106"/>
      <c r="C99" s="106"/>
      <c r="D99" s="106"/>
      <c r="E99" s="106"/>
      <c r="F99" s="106"/>
      <c r="G99" s="106"/>
      <c r="H99" s="106"/>
      <c r="I99" s="106"/>
      <c r="J99" s="106"/>
      <c r="K99" s="106"/>
      <c r="L99" s="106"/>
      <c r="M99" s="106"/>
      <c r="N99" s="106"/>
      <c r="O99" s="106"/>
      <c r="P99" s="106"/>
      <c r="Q99" s="106"/>
      <c r="R99" s="106"/>
      <c r="S99" s="106"/>
      <c r="T99" s="44"/>
      <c r="U99" s="44"/>
      <c r="V99" s="44"/>
      <c r="W99" s="44"/>
      <c r="X99" s="44"/>
      <c r="Y99" s="44"/>
      <c r="Z99" s="44"/>
      <c r="AA99" s="44"/>
      <c r="AB99" s="44"/>
      <c r="AC99" s="44"/>
      <c r="AD99" s="44"/>
      <c r="AE99" s="44"/>
      <c r="AF99" s="44"/>
      <c r="AG99" s="44"/>
      <c r="AH99" s="44"/>
      <c r="AI99" s="44"/>
      <c r="AJ99" s="44"/>
      <c r="AK99" s="44"/>
      <c r="AL99" s="44"/>
    </row>
    <row r="100" spans="1:38">
      <c r="A100" s="44"/>
      <c r="B100" s="106"/>
      <c r="C100" s="106"/>
      <c r="D100" s="106"/>
      <c r="E100" s="106"/>
      <c r="F100" s="106"/>
      <c r="G100" s="106"/>
      <c r="H100" s="106"/>
      <c r="I100" s="106"/>
      <c r="J100" s="106"/>
      <c r="K100" s="106"/>
      <c r="L100" s="106"/>
      <c r="M100" s="106"/>
      <c r="N100" s="106"/>
      <c r="O100" s="106"/>
      <c r="P100" s="106"/>
      <c r="Q100" s="106"/>
      <c r="R100" s="106"/>
      <c r="S100" s="106"/>
      <c r="T100" s="44"/>
      <c r="U100" s="44"/>
      <c r="V100" s="44"/>
      <c r="W100" s="44"/>
      <c r="X100" s="44"/>
      <c r="Y100" s="44"/>
      <c r="Z100" s="44"/>
      <c r="AA100" s="44"/>
      <c r="AB100" s="44"/>
      <c r="AC100" s="44"/>
      <c r="AD100" s="44"/>
      <c r="AE100" s="44"/>
      <c r="AF100" s="44"/>
      <c r="AG100" s="44"/>
      <c r="AH100" s="44"/>
      <c r="AI100" s="44"/>
      <c r="AJ100" s="44"/>
      <c r="AK100" s="44"/>
      <c r="AL100" s="44"/>
    </row>
    <row r="101" spans="1:38">
      <c r="A101" s="44"/>
      <c r="B101" s="106"/>
      <c r="C101" s="106"/>
      <c r="D101" s="106"/>
      <c r="E101" s="106"/>
      <c r="F101" s="106"/>
      <c r="G101" s="106"/>
      <c r="H101" s="106"/>
      <c r="I101" s="106"/>
      <c r="J101" s="106"/>
      <c r="K101" s="106"/>
      <c r="L101" s="106"/>
      <c r="M101" s="106"/>
      <c r="N101" s="106"/>
      <c r="O101" s="106"/>
      <c r="P101" s="106"/>
      <c r="Q101" s="106"/>
      <c r="R101" s="106"/>
      <c r="S101" s="106"/>
      <c r="T101" s="44"/>
      <c r="U101" s="44"/>
      <c r="V101" s="44"/>
      <c r="W101" s="44"/>
      <c r="X101" s="44"/>
      <c r="Y101" s="44"/>
      <c r="Z101" s="44"/>
      <c r="AA101" s="44"/>
      <c r="AB101" s="44"/>
      <c r="AC101" s="44"/>
      <c r="AD101" s="44"/>
      <c r="AE101" s="44"/>
      <c r="AF101" s="44"/>
      <c r="AG101" s="44"/>
      <c r="AH101" s="44"/>
      <c r="AI101" s="44"/>
      <c r="AJ101" s="44"/>
      <c r="AK101" s="44"/>
      <c r="AL101" s="44"/>
    </row>
    <row r="102" spans="1:38">
      <c r="A102" s="44"/>
      <c r="B102" s="106"/>
      <c r="C102" s="106"/>
      <c r="D102" s="106"/>
      <c r="E102" s="106"/>
      <c r="F102" s="106"/>
      <c r="G102" s="106"/>
      <c r="H102" s="106"/>
      <c r="I102" s="106"/>
      <c r="J102" s="106"/>
      <c r="K102" s="106"/>
      <c r="L102" s="106"/>
      <c r="M102" s="106"/>
      <c r="N102" s="106"/>
      <c r="O102" s="106"/>
      <c r="P102" s="106"/>
      <c r="Q102" s="106"/>
      <c r="R102" s="106"/>
      <c r="S102" s="106"/>
      <c r="T102" s="44"/>
      <c r="U102" s="44"/>
      <c r="V102" s="44"/>
      <c r="W102" s="44"/>
      <c r="X102" s="44"/>
      <c r="Y102" s="44"/>
      <c r="Z102" s="44"/>
      <c r="AA102" s="44"/>
      <c r="AB102" s="44"/>
      <c r="AC102" s="44"/>
      <c r="AD102" s="44"/>
      <c r="AE102" s="44"/>
      <c r="AF102" s="44"/>
      <c r="AG102" s="44"/>
      <c r="AH102" s="44"/>
      <c r="AI102" s="44"/>
      <c r="AJ102" s="44"/>
      <c r="AK102" s="44"/>
      <c r="AL102" s="44"/>
    </row>
    <row r="103" spans="1:38">
      <c r="A103" s="44"/>
      <c r="B103" s="106"/>
      <c r="C103" s="106"/>
      <c r="D103" s="106"/>
      <c r="E103" s="106"/>
      <c r="F103" s="106"/>
      <c r="G103" s="106"/>
      <c r="H103" s="106"/>
      <c r="I103" s="106"/>
      <c r="J103" s="106"/>
      <c r="K103" s="106"/>
      <c r="L103" s="106"/>
      <c r="M103" s="106"/>
      <c r="N103" s="106"/>
      <c r="O103" s="106"/>
      <c r="P103" s="106"/>
      <c r="Q103" s="106"/>
      <c r="R103" s="106"/>
      <c r="S103" s="106"/>
      <c r="T103" s="44"/>
      <c r="U103" s="44"/>
      <c r="V103" s="44"/>
      <c r="W103" s="44"/>
      <c r="X103" s="44"/>
      <c r="Y103" s="44"/>
      <c r="Z103" s="44"/>
      <c r="AA103" s="44"/>
      <c r="AB103" s="44"/>
      <c r="AC103" s="44"/>
      <c r="AD103" s="44"/>
      <c r="AE103" s="44"/>
      <c r="AF103" s="44"/>
      <c r="AG103" s="44"/>
      <c r="AH103" s="44"/>
      <c r="AI103" s="44"/>
      <c r="AJ103" s="44"/>
      <c r="AK103" s="44"/>
      <c r="AL103" s="44"/>
    </row>
    <row r="104" spans="1:38">
      <c r="A104" s="44"/>
      <c r="B104" s="106"/>
      <c r="C104" s="106"/>
      <c r="D104" s="106"/>
      <c r="E104" s="106"/>
      <c r="F104" s="106"/>
      <c r="G104" s="106"/>
      <c r="H104" s="106"/>
      <c r="I104" s="106"/>
      <c r="J104" s="106"/>
      <c r="K104" s="106"/>
      <c r="L104" s="106"/>
      <c r="M104" s="106"/>
      <c r="N104" s="106"/>
      <c r="O104" s="106"/>
      <c r="P104" s="106"/>
      <c r="Q104" s="106"/>
      <c r="R104" s="106"/>
      <c r="S104" s="106"/>
      <c r="T104" s="44"/>
      <c r="U104" s="44"/>
      <c r="V104" s="44"/>
      <c r="W104" s="44"/>
      <c r="X104" s="44"/>
      <c r="Y104" s="44"/>
      <c r="Z104" s="44"/>
      <c r="AA104" s="44"/>
      <c r="AB104" s="44"/>
      <c r="AC104" s="44"/>
      <c r="AD104" s="44"/>
      <c r="AE104" s="44"/>
      <c r="AF104" s="44"/>
      <c r="AG104" s="44"/>
      <c r="AH104" s="44"/>
      <c r="AI104" s="44"/>
      <c r="AJ104" s="44"/>
      <c r="AK104" s="44"/>
      <c r="AL104" s="44"/>
    </row>
    <row r="105" spans="1:38">
      <c r="A105" s="44"/>
      <c r="B105" s="106"/>
      <c r="C105" s="106"/>
      <c r="D105" s="106"/>
      <c r="E105" s="106"/>
      <c r="F105" s="106"/>
      <c r="G105" s="106"/>
      <c r="H105" s="106"/>
      <c r="I105" s="106"/>
      <c r="J105" s="106"/>
      <c r="K105" s="106"/>
      <c r="L105" s="106"/>
      <c r="M105" s="106"/>
      <c r="N105" s="106"/>
      <c r="O105" s="106"/>
      <c r="P105" s="106"/>
      <c r="Q105" s="106"/>
      <c r="R105" s="106"/>
      <c r="S105" s="106"/>
      <c r="T105" s="44"/>
      <c r="U105" s="44"/>
      <c r="V105" s="44"/>
      <c r="W105" s="44"/>
      <c r="X105" s="44"/>
      <c r="Y105" s="44"/>
      <c r="Z105" s="44"/>
      <c r="AA105" s="44"/>
      <c r="AB105" s="44"/>
      <c r="AC105" s="44"/>
      <c r="AD105" s="44"/>
      <c r="AE105" s="44"/>
      <c r="AF105" s="44"/>
      <c r="AG105" s="44"/>
      <c r="AH105" s="44"/>
      <c r="AI105" s="44"/>
      <c r="AJ105" s="44"/>
      <c r="AK105" s="44"/>
      <c r="AL105" s="44"/>
    </row>
    <row r="106" spans="1:38">
      <c r="A106" s="44"/>
      <c r="B106" s="106"/>
      <c r="C106" s="106"/>
      <c r="D106" s="106"/>
      <c r="E106" s="106"/>
      <c r="F106" s="106"/>
      <c r="G106" s="106"/>
      <c r="H106" s="106"/>
      <c r="I106" s="106"/>
      <c r="J106" s="106"/>
      <c r="K106" s="106"/>
      <c r="L106" s="106"/>
      <c r="M106" s="106"/>
      <c r="N106" s="106"/>
      <c r="O106" s="106"/>
      <c r="P106" s="106"/>
      <c r="Q106" s="106"/>
      <c r="R106" s="106"/>
      <c r="S106" s="106"/>
      <c r="T106" s="44"/>
      <c r="U106" s="44"/>
      <c r="V106" s="44"/>
      <c r="W106" s="44"/>
      <c r="X106" s="44"/>
      <c r="Y106" s="44"/>
      <c r="Z106" s="44"/>
      <c r="AA106" s="44"/>
      <c r="AB106" s="44"/>
      <c r="AC106" s="44"/>
      <c r="AD106" s="44"/>
      <c r="AE106" s="44"/>
      <c r="AF106" s="44"/>
      <c r="AG106" s="44"/>
      <c r="AH106" s="44"/>
      <c r="AI106" s="44"/>
      <c r="AJ106" s="44"/>
      <c r="AK106" s="44"/>
      <c r="AL106" s="44"/>
    </row>
    <row r="107" spans="1:38">
      <c r="A107" s="44"/>
      <c r="B107" s="106"/>
      <c r="C107" s="106"/>
      <c r="D107" s="106"/>
      <c r="E107" s="106"/>
      <c r="F107" s="106"/>
      <c r="G107" s="106"/>
      <c r="H107" s="106"/>
      <c r="I107" s="106"/>
      <c r="J107" s="106"/>
      <c r="K107" s="106"/>
      <c r="L107" s="106"/>
      <c r="M107" s="106"/>
      <c r="N107" s="106"/>
      <c r="O107" s="106"/>
      <c r="P107" s="106"/>
      <c r="Q107" s="106"/>
      <c r="R107" s="106"/>
      <c r="S107" s="106"/>
      <c r="T107" s="44"/>
      <c r="U107" s="44"/>
      <c r="V107" s="44"/>
      <c r="W107" s="44"/>
      <c r="X107" s="44"/>
      <c r="Y107" s="44"/>
      <c r="Z107" s="44"/>
      <c r="AA107" s="44"/>
      <c r="AB107" s="44"/>
      <c r="AC107" s="44"/>
      <c r="AD107" s="44"/>
      <c r="AE107" s="44"/>
      <c r="AF107" s="44"/>
      <c r="AG107" s="44"/>
      <c r="AH107" s="44"/>
      <c r="AI107" s="44"/>
      <c r="AJ107" s="44"/>
      <c r="AK107" s="44"/>
      <c r="AL107" s="44"/>
    </row>
    <row r="108" spans="1:38">
      <c r="A108" s="44"/>
      <c r="B108" s="106"/>
      <c r="C108" s="106"/>
      <c r="D108" s="106"/>
      <c r="E108" s="106"/>
      <c r="F108" s="106"/>
      <c r="G108" s="106"/>
      <c r="H108" s="106"/>
      <c r="I108" s="106"/>
      <c r="J108" s="106"/>
      <c r="K108" s="106"/>
      <c r="L108" s="106"/>
      <c r="M108" s="106"/>
      <c r="N108" s="106"/>
      <c r="O108" s="106"/>
      <c r="P108" s="106"/>
      <c r="Q108" s="106"/>
      <c r="R108" s="106"/>
      <c r="S108" s="106"/>
      <c r="T108" s="44"/>
      <c r="U108" s="44"/>
      <c r="V108" s="44"/>
      <c r="W108" s="44"/>
      <c r="X108" s="44"/>
      <c r="Y108" s="44"/>
      <c r="Z108" s="44"/>
      <c r="AA108" s="44"/>
      <c r="AB108" s="44"/>
      <c r="AC108" s="44"/>
      <c r="AD108" s="44"/>
      <c r="AE108" s="44"/>
      <c r="AF108" s="44"/>
      <c r="AG108" s="44"/>
      <c r="AH108" s="44"/>
      <c r="AI108" s="44"/>
      <c r="AJ108" s="44"/>
      <c r="AK108" s="44"/>
      <c r="AL108" s="44"/>
    </row>
    <row r="109" spans="1:38">
      <c r="A109" s="44"/>
      <c r="B109" s="106"/>
      <c r="C109" s="106"/>
      <c r="D109" s="106"/>
      <c r="E109" s="106"/>
      <c r="F109" s="106"/>
      <c r="G109" s="106"/>
      <c r="H109" s="106"/>
      <c r="I109" s="106"/>
      <c r="J109" s="106"/>
      <c r="K109" s="106"/>
      <c r="L109" s="106"/>
      <c r="M109" s="106"/>
      <c r="N109" s="106"/>
      <c r="O109" s="106"/>
      <c r="P109" s="106"/>
      <c r="Q109" s="106"/>
      <c r="R109" s="106"/>
      <c r="S109" s="106"/>
      <c r="T109" s="44"/>
      <c r="U109" s="44"/>
      <c r="V109" s="44"/>
      <c r="W109" s="44"/>
      <c r="X109" s="44"/>
      <c r="Y109" s="44"/>
      <c r="Z109" s="44"/>
      <c r="AA109" s="44"/>
      <c r="AB109" s="44"/>
      <c r="AC109" s="44"/>
      <c r="AD109" s="44"/>
      <c r="AE109" s="44"/>
      <c r="AF109" s="44"/>
      <c r="AG109" s="44"/>
      <c r="AH109" s="44"/>
      <c r="AI109" s="44"/>
      <c r="AJ109" s="44"/>
      <c r="AK109" s="44"/>
      <c r="AL109" s="44"/>
    </row>
    <row r="110" spans="1:38">
      <c r="A110" s="44"/>
      <c r="B110" s="106"/>
      <c r="C110" s="106"/>
      <c r="D110" s="106"/>
      <c r="E110" s="106"/>
      <c r="F110" s="106"/>
      <c r="G110" s="106"/>
      <c r="H110" s="106"/>
      <c r="I110" s="106"/>
      <c r="J110" s="106"/>
      <c r="K110" s="106"/>
      <c r="L110" s="106"/>
      <c r="M110" s="106"/>
      <c r="N110" s="106"/>
      <c r="O110" s="106"/>
      <c r="P110" s="106"/>
      <c r="Q110" s="106"/>
      <c r="R110" s="106"/>
      <c r="S110" s="106"/>
      <c r="T110" s="44"/>
      <c r="U110" s="44"/>
      <c r="V110" s="44"/>
      <c r="W110" s="44"/>
      <c r="X110" s="44"/>
      <c r="Y110" s="44"/>
      <c r="Z110" s="44"/>
      <c r="AA110" s="44"/>
      <c r="AB110" s="44"/>
      <c r="AC110" s="44"/>
      <c r="AD110" s="44"/>
      <c r="AE110" s="44"/>
      <c r="AF110" s="44"/>
      <c r="AG110" s="44"/>
      <c r="AH110" s="44"/>
      <c r="AI110" s="44"/>
      <c r="AJ110" s="44"/>
      <c r="AK110" s="44"/>
      <c r="AL110" s="44"/>
    </row>
    <row r="111" spans="1:38">
      <c r="A111" s="44"/>
      <c r="B111" s="106"/>
      <c r="C111" s="106"/>
      <c r="D111" s="106"/>
      <c r="E111" s="106"/>
      <c r="F111" s="106"/>
      <c r="G111" s="106"/>
      <c r="H111" s="106"/>
      <c r="I111" s="106"/>
      <c r="J111" s="106"/>
      <c r="K111" s="106"/>
      <c r="L111" s="106"/>
      <c r="M111" s="106"/>
      <c r="N111" s="106"/>
      <c r="O111" s="106"/>
      <c r="P111" s="106"/>
      <c r="Q111" s="106"/>
      <c r="R111" s="106"/>
      <c r="S111" s="106"/>
      <c r="T111" s="44"/>
      <c r="U111" s="44"/>
      <c r="V111" s="44"/>
      <c r="W111" s="44"/>
      <c r="X111" s="44"/>
      <c r="Y111" s="44"/>
      <c r="Z111" s="44"/>
      <c r="AA111" s="44"/>
      <c r="AB111" s="44"/>
      <c r="AC111" s="44"/>
      <c r="AD111" s="44"/>
      <c r="AE111" s="44"/>
      <c r="AF111" s="44"/>
      <c r="AG111" s="44"/>
      <c r="AH111" s="44"/>
      <c r="AI111" s="44"/>
      <c r="AJ111" s="44"/>
      <c r="AK111" s="44"/>
      <c r="AL111" s="44"/>
    </row>
    <row r="112" spans="1:38">
      <c r="A112" s="44"/>
      <c r="B112" s="106"/>
      <c r="C112" s="106"/>
      <c r="D112" s="106"/>
      <c r="E112" s="106"/>
      <c r="F112" s="106"/>
      <c r="G112" s="106"/>
      <c r="H112" s="106"/>
      <c r="I112" s="106"/>
      <c r="J112" s="106"/>
      <c r="K112" s="106"/>
      <c r="L112" s="106"/>
      <c r="M112" s="106"/>
      <c r="N112" s="106"/>
      <c r="O112" s="106"/>
      <c r="P112" s="106"/>
      <c r="Q112" s="106"/>
      <c r="R112" s="106"/>
      <c r="S112" s="106"/>
      <c r="T112" s="44"/>
      <c r="U112" s="44"/>
      <c r="V112" s="44"/>
      <c r="W112" s="44"/>
      <c r="X112" s="44"/>
      <c r="Y112" s="44"/>
      <c r="Z112" s="44"/>
      <c r="AA112" s="44"/>
      <c r="AB112" s="44"/>
      <c r="AC112" s="44"/>
      <c r="AD112" s="44"/>
      <c r="AE112" s="44"/>
      <c r="AF112" s="44"/>
      <c r="AG112" s="44"/>
      <c r="AH112" s="44"/>
      <c r="AI112" s="44"/>
      <c r="AJ112" s="44"/>
      <c r="AK112" s="44"/>
      <c r="AL112" s="44"/>
    </row>
    <row r="113" spans="1:38">
      <c r="A113" s="44"/>
      <c r="B113" s="106"/>
      <c r="C113" s="106"/>
      <c r="D113" s="106"/>
      <c r="E113" s="106"/>
      <c r="F113" s="106"/>
      <c r="G113" s="106"/>
      <c r="H113" s="106"/>
      <c r="I113" s="106"/>
      <c r="J113" s="106"/>
      <c r="K113" s="106"/>
      <c r="L113" s="106"/>
      <c r="M113" s="106"/>
      <c r="N113" s="106"/>
      <c r="O113" s="106"/>
      <c r="P113" s="106"/>
      <c r="Q113" s="106"/>
      <c r="R113" s="106"/>
      <c r="S113" s="106"/>
      <c r="T113" s="44"/>
      <c r="U113" s="44"/>
      <c r="V113" s="44"/>
      <c r="W113" s="44"/>
      <c r="X113" s="44"/>
      <c r="Y113" s="44"/>
      <c r="Z113" s="44"/>
      <c r="AA113" s="44"/>
      <c r="AB113" s="44"/>
      <c r="AC113" s="44"/>
      <c r="AD113" s="44"/>
      <c r="AE113" s="44"/>
      <c r="AF113" s="44"/>
      <c r="AG113" s="44"/>
      <c r="AH113" s="44"/>
      <c r="AI113" s="44"/>
      <c r="AJ113" s="44"/>
      <c r="AK113" s="44"/>
      <c r="AL113" s="44"/>
    </row>
    <row r="114" spans="1:38">
      <c r="A114" s="44"/>
      <c r="B114" s="106"/>
      <c r="C114" s="106"/>
      <c r="D114" s="106"/>
      <c r="E114" s="106"/>
      <c r="F114" s="106"/>
      <c r="G114" s="106"/>
      <c r="H114" s="106"/>
      <c r="I114" s="106"/>
      <c r="J114" s="106"/>
      <c r="K114" s="106"/>
      <c r="L114" s="106"/>
      <c r="M114" s="106"/>
      <c r="N114" s="106"/>
      <c r="O114" s="106"/>
      <c r="P114" s="106"/>
      <c r="Q114" s="106"/>
      <c r="R114" s="106"/>
      <c r="S114" s="106"/>
      <c r="T114" s="44"/>
      <c r="U114" s="44"/>
      <c r="V114" s="44"/>
      <c r="W114" s="44"/>
      <c r="X114" s="44"/>
      <c r="Y114" s="44"/>
      <c r="Z114" s="44"/>
      <c r="AA114" s="44"/>
      <c r="AB114" s="44"/>
      <c r="AC114" s="44"/>
      <c r="AD114" s="44"/>
      <c r="AE114" s="44"/>
      <c r="AF114" s="44"/>
      <c r="AG114" s="44"/>
      <c r="AH114" s="44"/>
      <c r="AI114" s="44"/>
      <c r="AJ114" s="44"/>
      <c r="AK114" s="44"/>
      <c r="AL114" s="44"/>
    </row>
    <row r="115" spans="1:38">
      <c r="A115" s="44"/>
      <c r="B115" s="106"/>
      <c r="C115" s="106"/>
      <c r="D115" s="106"/>
      <c r="E115" s="106"/>
      <c r="F115" s="106"/>
      <c r="G115" s="106"/>
      <c r="H115" s="106"/>
      <c r="I115" s="106"/>
      <c r="J115" s="106"/>
      <c r="K115" s="106"/>
      <c r="L115" s="106"/>
      <c r="M115" s="106"/>
      <c r="N115" s="106"/>
      <c r="O115" s="106"/>
      <c r="P115" s="106"/>
      <c r="Q115" s="106"/>
      <c r="R115" s="106"/>
      <c r="S115" s="106"/>
      <c r="T115" s="44"/>
      <c r="U115" s="44"/>
      <c r="V115" s="44"/>
      <c r="W115" s="44"/>
      <c r="X115" s="44"/>
      <c r="Y115" s="44"/>
      <c r="Z115" s="44"/>
      <c r="AA115" s="44"/>
      <c r="AB115" s="44"/>
      <c r="AC115" s="44"/>
      <c r="AD115" s="44"/>
      <c r="AE115" s="44"/>
      <c r="AF115" s="44"/>
      <c r="AG115" s="44"/>
      <c r="AH115" s="44"/>
      <c r="AI115" s="44"/>
      <c r="AJ115" s="44"/>
      <c r="AK115" s="44"/>
      <c r="AL115" s="44"/>
    </row>
    <row r="116" spans="1:38">
      <c r="A116" s="44"/>
      <c r="B116" s="106"/>
      <c r="C116" s="106"/>
      <c r="D116" s="106"/>
      <c r="E116" s="106"/>
      <c r="F116" s="106"/>
      <c r="G116" s="106"/>
      <c r="H116" s="106"/>
      <c r="I116" s="106"/>
      <c r="J116" s="106"/>
      <c r="K116" s="106"/>
      <c r="L116" s="106"/>
      <c r="M116" s="106"/>
      <c r="N116" s="106"/>
      <c r="O116" s="106"/>
      <c r="P116" s="106"/>
      <c r="Q116" s="106"/>
      <c r="R116" s="106"/>
      <c r="S116" s="106"/>
      <c r="T116" s="44"/>
      <c r="U116" s="44"/>
      <c r="V116" s="44"/>
      <c r="W116" s="44"/>
      <c r="X116" s="44"/>
      <c r="Y116" s="44"/>
      <c r="Z116" s="44"/>
      <c r="AA116" s="44"/>
      <c r="AB116" s="44"/>
      <c r="AC116" s="44"/>
      <c r="AD116" s="44"/>
      <c r="AE116" s="44"/>
      <c r="AF116" s="44"/>
      <c r="AG116" s="44"/>
      <c r="AH116" s="44"/>
      <c r="AI116" s="44"/>
      <c r="AJ116" s="44"/>
      <c r="AK116" s="44"/>
      <c r="AL116" s="44"/>
    </row>
    <row r="117" spans="1:38">
      <c r="A117" s="44"/>
      <c r="B117" s="106"/>
      <c r="C117" s="106"/>
      <c r="D117" s="106"/>
      <c r="E117" s="106"/>
      <c r="F117" s="106"/>
      <c r="G117" s="106"/>
      <c r="H117" s="106"/>
      <c r="I117" s="106"/>
      <c r="J117" s="106"/>
      <c r="K117" s="106"/>
      <c r="L117" s="106"/>
      <c r="M117" s="106"/>
      <c r="N117" s="106"/>
      <c r="O117" s="106"/>
      <c r="P117" s="106"/>
      <c r="Q117" s="106"/>
      <c r="R117" s="106"/>
      <c r="S117" s="106"/>
      <c r="T117" s="44"/>
      <c r="U117" s="44"/>
      <c r="V117" s="44"/>
      <c r="W117" s="44"/>
      <c r="X117" s="44"/>
      <c r="Y117" s="44"/>
      <c r="Z117" s="44"/>
      <c r="AA117" s="44"/>
      <c r="AB117" s="44"/>
      <c r="AC117" s="44"/>
      <c r="AD117" s="44"/>
      <c r="AE117" s="44"/>
      <c r="AF117" s="44"/>
      <c r="AG117" s="44"/>
      <c r="AH117" s="44"/>
      <c r="AI117" s="44"/>
      <c r="AJ117" s="44"/>
      <c r="AK117" s="44"/>
      <c r="AL117" s="44"/>
    </row>
    <row r="118" spans="1:38">
      <c r="A118" s="44"/>
      <c r="B118" s="106"/>
      <c r="C118" s="106"/>
      <c r="D118" s="106"/>
      <c r="E118" s="106"/>
      <c r="F118" s="106"/>
      <c r="G118" s="106"/>
      <c r="H118" s="106"/>
      <c r="I118" s="106"/>
      <c r="J118" s="106"/>
      <c r="K118" s="106"/>
      <c r="L118" s="106"/>
      <c r="M118" s="106"/>
      <c r="N118" s="106"/>
      <c r="O118" s="106"/>
      <c r="P118" s="106"/>
      <c r="Q118" s="106"/>
      <c r="R118" s="106"/>
      <c r="S118" s="106"/>
      <c r="T118" s="44"/>
      <c r="U118" s="44"/>
      <c r="V118" s="44"/>
      <c r="W118" s="44"/>
      <c r="X118" s="44"/>
      <c r="Y118" s="44"/>
      <c r="Z118" s="44"/>
      <c r="AA118" s="44"/>
      <c r="AB118" s="44"/>
      <c r="AC118" s="44"/>
      <c r="AD118" s="44"/>
      <c r="AE118" s="44"/>
      <c r="AF118" s="44"/>
      <c r="AG118" s="44"/>
      <c r="AH118" s="44"/>
      <c r="AI118" s="44"/>
      <c r="AJ118" s="44"/>
      <c r="AK118" s="44"/>
      <c r="AL118" s="44"/>
    </row>
    <row r="119" spans="1:38">
      <c r="A119" s="44"/>
      <c r="B119" s="106"/>
      <c r="C119" s="106"/>
      <c r="D119" s="106"/>
      <c r="E119" s="106"/>
      <c r="F119" s="106"/>
      <c r="G119" s="106"/>
      <c r="H119" s="106"/>
      <c r="I119" s="106"/>
      <c r="J119" s="106"/>
      <c r="K119" s="106"/>
      <c r="L119" s="106"/>
      <c r="M119" s="106"/>
      <c r="N119" s="106"/>
      <c r="O119" s="106"/>
      <c r="P119" s="106"/>
      <c r="Q119" s="106"/>
      <c r="R119" s="106"/>
      <c r="S119" s="106"/>
      <c r="T119" s="44"/>
      <c r="U119" s="44"/>
      <c r="V119" s="44"/>
      <c r="W119" s="44"/>
      <c r="X119" s="44"/>
      <c r="Y119" s="44"/>
      <c r="Z119" s="44"/>
      <c r="AA119" s="44"/>
      <c r="AB119" s="44"/>
      <c r="AC119" s="44"/>
      <c r="AD119" s="44"/>
      <c r="AE119" s="44"/>
      <c r="AF119" s="44"/>
      <c r="AG119" s="44"/>
      <c r="AH119" s="44"/>
      <c r="AI119" s="44"/>
      <c r="AJ119" s="44"/>
      <c r="AK119" s="44"/>
      <c r="AL119" s="44"/>
    </row>
    <row r="120" spans="1:38">
      <c r="A120" s="44"/>
      <c r="B120" s="106"/>
      <c r="C120" s="106"/>
      <c r="D120" s="106"/>
      <c r="E120" s="106"/>
      <c r="F120" s="106"/>
      <c r="G120" s="106"/>
      <c r="H120" s="106"/>
      <c r="I120" s="106"/>
      <c r="J120" s="106"/>
      <c r="K120" s="106"/>
      <c r="L120" s="106"/>
      <c r="M120" s="106"/>
      <c r="N120" s="106"/>
      <c r="O120" s="106"/>
      <c r="P120" s="106"/>
      <c r="Q120" s="106"/>
      <c r="R120" s="106"/>
      <c r="S120" s="106"/>
      <c r="T120" s="44"/>
      <c r="U120" s="44"/>
      <c r="V120" s="44"/>
      <c r="W120" s="44"/>
      <c r="X120" s="44"/>
      <c r="Y120" s="44"/>
      <c r="Z120" s="44"/>
      <c r="AA120" s="44"/>
      <c r="AB120" s="44"/>
      <c r="AC120" s="44"/>
      <c r="AD120" s="44"/>
      <c r="AE120" s="44"/>
      <c r="AF120" s="44"/>
      <c r="AG120" s="44"/>
      <c r="AH120" s="44"/>
      <c r="AI120" s="44"/>
      <c r="AJ120" s="44"/>
      <c r="AK120" s="44"/>
      <c r="AL120" s="44"/>
    </row>
    <row r="121" spans="1:38">
      <c r="A121" s="44"/>
      <c r="B121" s="106"/>
      <c r="C121" s="106"/>
      <c r="D121" s="106"/>
      <c r="E121" s="106"/>
      <c r="F121" s="106"/>
      <c r="G121" s="106"/>
      <c r="H121" s="106"/>
      <c r="I121" s="106"/>
      <c r="J121" s="106"/>
      <c r="K121" s="106"/>
      <c r="L121" s="106"/>
      <c r="M121" s="106"/>
      <c r="N121" s="106"/>
      <c r="O121" s="106"/>
      <c r="P121" s="106"/>
      <c r="Q121" s="106"/>
      <c r="R121" s="106"/>
      <c r="S121" s="106"/>
      <c r="T121" s="44"/>
      <c r="U121" s="44"/>
      <c r="V121" s="44"/>
      <c r="W121" s="44"/>
      <c r="X121" s="44"/>
      <c r="Y121" s="44"/>
      <c r="Z121" s="44"/>
      <c r="AA121" s="44"/>
      <c r="AB121" s="44"/>
      <c r="AC121" s="44"/>
      <c r="AD121" s="44"/>
      <c r="AE121" s="44"/>
      <c r="AF121" s="44"/>
      <c r="AG121" s="44"/>
      <c r="AH121" s="44"/>
      <c r="AI121" s="44"/>
      <c r="AJ121" s="44"/>
      <c r="AK121" s="44"/>
      <c r="AL121" s="44"/>
    </row>
    <row r="122" spans="1:38">
      <c r="A122" s="44"/>
      <c r="B122" s="106"/>
      <c r="C122" s="106"/>
      <c r="D122" s="106"/>
      <c r="E122" s="106"/>
      <c r="F122" s="106"/>
      <c r="G122" s="106"/>
      <c r="H122" s="106"/>
      <c r="I122" s="106"/>
      <c r="J122" s="106"/>
      <c r="K122" s="106"/>
      <c r="L122" s="106"/>
      <c r="M122" s="106"/>
      <c r="N122" s="106"/>
      <c r="O122" s="106"/>
      <c r="P122" s="106"/>
      <c r="Q122" s="106"/>
      <c r="R122" s="106"/>
      <c r="S122" s="106"/>
      <c r="T122" s="44"/>
      <c r="U122" s="44"/>
      <c r="V122" s="44"/>
      <c r="W122" s="44"/>
      <c r="X122" s="44"/>
      <c r="Y122" s="44"/>
      <c r="Z122" s="44"/>
      <c r="AA122" s="44"/>
      <c r="AB122" s="44"/>
      <c r="AC122" s="44"/>
      <c r="AD122" s="44"/>
      <c r="AE122" s="44"/>
      <c r="AF122" s="44"/>
      <c r="AG122" s="44"/>
      <c r="AH122" s="44"/>
      <c r="AI122" s="44"/>
      <c r="AJ122" s="44"/>
      <c r="AK122" s="44"/>
      <c r="AL122" s="44"/>
    </row>
    <row r="123" spans="1:38">
      <c r="A123" s="44"/>
      <c r="B123" s="106"/>
      <c r="C123" s="106"/>
      <c r="D123" s="106"/>
      <c r="E123" s="106"/>
      <c r="F123" s="106"/>
      <c r="G123" s="106"/>
      <c r="H123" s="106"/>
      <c r="I123" s="106"/>
      <c r="J123" s="106"/>
      <c r="K123" s="106"/>
      <c r="L123" s="106"/>
      <c r="M123" s="106"/>
      <c r="N123" s="106"/>
      <c r="O123" s="106"/>
      <c r="P123" s="106"/>
      <c r="Q123" s="106"/>
      <c r="R123" s="106"/>
      <c r="S123" s="106"/>
      <c r="T123" s="44"/>
      <c r="U123" s="44"/>
      <c r="V123" s="44"/>
      <c r="W123" s="44"/>
      <c r="X123" s="44"/>
      <c r="Y123" s="44"/>
      <c r="Z123" s="44"/>
      <c r="AA123" s="44"/>
      <c r="AB123" s="44"/>
      <c r="AC123" s="44"/>
      <c r="AD123" s="44"/>
      <c r="AE123" s="44"/>
      <c r="AF123" s="44"/>
      <c r="AG123" s="44"/>
      <c r="AH123" s="44"/>
      <c r="AI123" s="44"/>
      <c r="AJ123" s="44"/>
      <c r="AK123" s="44"/>
      <c r="AL123" s="44"/>
    </row>
    <row r="124" spans="1:38">
      <c r="A124" s="44"/>
      <c r="B124" s="106"/>
      <c r="C124" s="106"/>
      <c r="D124" s="106"/>
      <c r="E124" s="106"/>
      <c r="F124" s="106"/>
      <c r="G124" s="106"/>
      <c r="H124" s="106"/>
      <c r="I124" s="106"/>
      <c r="J124" s="106"/>
      <c r="K124" s="106"/>
      <c r="L124" s="106"/>
      <c r="M124" s="106"/>
      <c r="N124" s="106"/>
      <c r="O124" s="106"/>
      <c r="P124" s="106"/>
      <c r="Q124" s="106"/>
      <c r="R124" s="106"/>
      <c r="S124" s="106"/>
      <c r="T124" s="44"/>
      <c r="U124" s="44"/>
      <c r="V124" s="44"/>
      <c r="W124" s="44"/>
      <c r="X124" s="44"/>
      <c r="Y124" s="44"/>
      <c r="Z124" s="44"/>
      <c r="AA124" s="44"/>
      <c r="AB124" s="44"/>
      <c r="AC124" s="44"/>
      <c r="AD124" s="44"/>
      <c r="AE124" s="44"/>
      <c r="AF124" s="44"/>
      <c r="AG124" s="44"/>
      <c r="AH124" s="44"/>
      <c r="AI124" s="44"/>
      <c r="AJ124" s="44"/>
      <c r="AK124" s="44"/>
      <c r="AL124" s="44"/>
    </row>
    <row r="125" spans="1:38">
      <c r="A125" s="44"/>
      <c r="B125" s="106"/>
      <c r="C125" s="106"/>
      <c r="D125" s="106"/>
      <c r="E125" s="106"/>
      <c r="F125" s="106"/>
      <c r="G125" s="106"/>
      <c r="H125" s="106"/>
      <c r="I125" s="106"/>
      <c r="J125" s="106"/>
      <c r="K125" s="106"/>
      <c r="L125" s="106"/>
      <c r="M125" s="106"/>
      <c r="N125" s="106"/>
      <c r="O125" s="106"/>
      <c r="P125" s="106"/>
      <c r="Q125" s="106"/>
      <c r="R125" s="106"/>
      <c r="S125" s="106"/>
      <c r="T125" s="44"/>
      <c r="U125" s="44"/>
      <c r="V125" s="44"/>
      <c r="W125" s="44"/>
      <c r="X125" s="44"/>
      <c r="Y125" s="44"/>
      <c r="Z125" s="44"/>
      <c r="AA125" s="44"/>
      <c r="AB125" s="44"/>
      <c r="AC125" s="44"/>
      <c r="AD125" s="44"/>
      <c r="AE125" s="44"/>
      <c r="AF125" s="44"/>
      <c r="AG125" s="44"/>
      <c r="AH125" s="44"/>
      <c r="AI125" s="44"/>
      <c r="AJ125" s="44"/>
      <c r="AK125" s="44"/>
      <c r="AL125" s="44"/>
    </row>
    <row r="126" spans="1:38">
      <c r="A126" s="44"/>
      <c r="B126" s="106"/>
      <c r="C126" s="106"/>
      <c r="D126" s="106"/>
      <c r="E126" s="106"/>
      <c r="F126" s="106"/>
      <c r="G126" s="106"/>
      <c r="H126" s="106"/>
      <c r="I126" s="106"/>
      <c r="J126" s="106"/>
      <c r="K126" s="106"/>
      <c r="L126" s="106"/>
      <c r="M126" s="106"/>
      <c r="N126" s="106"/>
      <c r="O126" s="106"/>
      <c r="P126" s="106"/>
      <c r="Q126" s="106"/>
      <c r="R126" s="106"/>
      <c r="S126" s="106"/>
      <c r="T126" s="44"/>
      <c r="U126" s="44"/>
      <c r="V126" s="44"/>
      <c r="W126" s="44"/>
      <c r="X126" s="44"/>
      <c r="Y126" s="44"/>
      <c r="Z126" s="44"/>
      <c r="AA126" s="44"/>
      <c r="AB126" s="44"/>
      <c r="AC126" s="44"/>
      <c r="AD126" s="44"/>
      <c r="AE126" s="44"/>
      <c r="AF126" s="44"/>
      <c r="AG126" s="44"/>
      <c r="AH126" s="44"/>
      <c r="AI126" s="44"/>
      <c r="AJ126" s="44"/>
      <c r="AK126" s="44"/>
      <c r="AL126" s="44"/>
    </row>
    <row r="127" spans="1:38">
      <c r="A127" s="44"/>
      <c r="B127" s="106"/>
      <c r="C127" s="106"/>
      <c r="D127" s="106"/>
      <c r="E127" s="106"/>
      <c r="F127" s="106"/>
      <c r="G127" s="106"/>
      <c r="H127" s="106"/>
      <c r="I127" s="106"/>
      <c r="J127" s="106"/>
      <c r="K127" s="106"/>
      <c r="L127" s="106"/>
      <c r="M127" s="106"/>
      <c r="N127" s="106"/>
      <c r="O127" s="106"/>
      <c r="P127" s="106"/>
      <c r="Q127" s="106"/>
      <c r="R127" s="106"/>
      <c r="S127" s="106"/>
      <c r="T127" s="44"/>
      <c r="U127" s="44"/>
      <c r="V127" s="44"/>
      <c r="W127" s="44"/>
      <c r="X127" s="44"/>
      <c r="Y127" s="44"/>
      <c r="Z127" s="44"/>
      <c r="AA127" s="44"/>
      <c r="AB127" s="44"/>
      <c r="AC127" s="44"/>
      <c r="AD127" s="44"/>
      <c r="AE127" s="44"/>
      <c r="AF127" s="44"/>
      <c r="AG127" s="44"/>
      <c r="AH127" s="44"/>
      <c r="AI127" s="44"/>
      <c r="AJ127" s="44"/>
      <c r="AK127" s="44"/>
      <c r="AL127" s="44"/>
    </row>
    <row r="128" spans="1:38">
      <c r="A128" s="44"/>
      <c r="B128" s="106"/>
      <c r="C128" s="106"/>
      <c r="D128" s="106"/>
      <c r="E128" s="106"/>
      <c r="F128" s="106"/>
      <c r="G128" s="106"/>
      <c r="H128" s="106"/>
      <c r="I128" s="106"/>
      <c r="J128" s="106"/>
      <c r="K128" s="106"/>
      <c r="L128" s="106"/>
      <c r="M128" s="106"/>
      <c r="N128" s="106"/>
      <c r="O128" s="106"/>
      <c r="P128" s="106"/>
      <c r="Q128" s="106"/>
      <c r="R128" s="106"/>
      <c r="S128" s="106"/>
      <c r="T128" s="44"/>
      <c r="U128" s="44"/>
      <c r="V128" s="44"/>
      <c r="W128" s="44"/>
      <c r="X128" s="44"/>
      <c r="Y128" s="44"/>
      <c r="Z128" s="44"/>
      <c r="AA128" s="44"/>
      <c r="AB128" s="44"/>
      <c r="AC128" s="44"/>
      <c r="AD128" s="44"/>
      <c r="AE128" s="44"/>
      <c r="AF128" s="44"/>
      <c r="AG128" s="44"/>
      <c r="AH128" s="44"/>
      <c r="AI128" s="44"/>
      <c r="AJ128" s="44"/>
      <c r="AK128" s="44"/>
      <c r="AL128" s="44"/>
    </row>
    <row r="129" spans="1:38">
      <c r="A129" s="44"/>
      <c r="B129" s="106"/>
      <c r="C129" s="106"/>
      <c r="D129" s="106"/>
      <c r="E129" s="106"/>
      <c r="F129" s="106"/>
      <c r="G129" s="106"/>
      <c r="H129" s="106"/>
      <c r="I129" s="106"/>
      <c r="J129" s="106"/>
      <c r="K129" s="106"/>
      <c r="L129" s="106"/>
      <c r="M129" s="106"/>
      <c r="N129" s="106"/>
      <c r="O129" s="106"/>
      <c r="P129" s="106"/>
      <c r="Q129" s="106"/>
      <c r="R129" s="106"/>
      <c r="S129" s="106"/>
      <c r="T129" s="44"/>
      <c r="U129" s="44"/>
      <c r="V129" s="44"/>
      <c r="W129" s="44"/>
      <c r="X129" s="44"/>
      <c r="Y129" s="44"/>
      <c r="Z129" s="44"/>
      <c r="AA129" s="44"/>
      <c r="AB129" s="44"/>
      <c r="AC129" s="44"/>
      <c r="AD129" s="44"/>
      <c r="AE129" s="44"/>
      <c r="AF129" s="44"/>
      <c r="AG129" s="44"/>
      <c r="AH129" s="44"/>
      <c r="AI129" s="44"/>
      <c r="AJ129" s="44"/>
      <c r="AK129" s="44"/>
      <c r="AL129" s="44"/>
    </row>
    <row r="130" spans="1:38">
      <c r="A130" s="44"/>
      <c r="B130" s="106"/>
      <c r="C130" s="106"/>
      <c r="D130" s="106"/>
      <c r="E130" s="106"/>
      <c r="F130" s="106"/>
      <c r="G130" s="106"/>
      <c r="H130" s="106"/>
      <c r="I130" s="106"/>
      <c r="J130" s="106"/>
      <c r="K130" s="106"/>
      <c r="L130" s="106"/>
      <c r="M130" s="106"/>
      <c r="N130" s="106"/>
      <c r="O130" s="106"/>
      <c r="P130" s="106"/>
      <c r="Q130" s="106"/>
      <c r="R130" s="106"/>
      <c r="S130" s="106"/>
      <c r="T130" s="44"/>
      <c r="U130" s="44"/>
      <c r="V130" s="44"/>
      <c r="W130" s="44"/>
      <c r="X130" s="44"/>
      <c r="Y130" s="44"/>
      <c r="Z130" s="44"/>
      <c r="AA130" s="44"/>
      <c r="AB130" s="44"/>
      <c r="AC130" s="44"/>
      <c r="AD130" s="44"/>
      <c r="AE130" s="44"/>
      <c r="AF130" s="44"/>
      <c r="AG130" s="44"/>
      <c r="AH130" s="44"/>
      <c r="AI130" s="44"/>
      <c r="AJ130" s="44"/>
      <c r="AK130" s="44"/>
      <c r="AL130" s="44"/>
    </row>
    <row r="131" spans="1:38">
      <c r="A131" s="44"/>
      <c r="B131" s="106"/>
      <c r="C131" s="106"/>
      <c r="D131" s="106"/>
      <c r="E131" s="106"/>
      <c r="F131" s="106"/>
      <c r="G131" s="106"/>
      <c r="H131" s="106"/>
      <c r="I131" s="106"/>
      <c r="J131" s="106"/>
      <c r="K131" s="106"/>
      <c r="L131" s="106"/>
      <c r="M131" s="106"/>
      <c r="N131" s="106"/>
      <c r="O131" s="106"/>
      <c r="P131" s="106"/>
      <c r="Q131" s="106"/>
      <c r="R131" s="106"/>
      <c r="S131" s="106"/>
      <c r="T131" s="44"/>
      <c r="U131" s="44"/>
      <c r="V131" s="44"/>
      <c r="W131" s="44"/>
      <c r="X131" s="44"/>
      <c r="Y131" s="44"/>
      <c r="Z131" s="44"/>
      <c r="AA131" s="44"/>
      <c r="AB131" s="44"/>
      <c r="AC131" s="44"/>
      <c r="AD131" s="44"/>
      <c r="AE131" s="44"/>
      <c r="AF131" s="44"/>
      <c r="AG131" s="44"/>
      <c r="AH131" s="44"/>
      <c r="AI131" s="44"/>
      <c r="AJ131" s="44"/>
      <c r="AK131" s="44"/>
      <c r="AL131" s="44"/>
    </row>
    <row r="132" spans="1:38">
      <c r="A132" s="44"/>
      <c r="B132" s="106"/>
      <c r="C132" s="106"/>
      <c r="D132" s="106"/>
      <c r="E132" s="106"/>
      <c r="F132" s="106"/>
      <c r="G132" s="106"/>
      <c r="H132" s="106"/>
      <c r="I132" s="106"/>
      <c r="J132" s="106"/>
      <c r="K132" s="106"/>
      <c r="L132" s="106"/>
      <c r="M132" s="106"/>
      <c r="N132" s="106"/>
      <c r="O132" s="106"/>
      <c r="P132" s="106"/>
      <c r="Q132" s="106"/>
      <c r="R132" s="106"/>
      <c r="S132" s="106"/>
      <c r="T132" s="44"/>
      <c r="U132" s="44"/>
      <c r="V132" s="44"/>
      <c r="W132" s="44"/>
      <c r="X132" s="44"/>
      <c r="Y132" s="44"/>
      <c r="Z132" s="44"/>
      <c r="AA132" s="44"/>
      <c r="AB132" s="44"/>
      <c r="AC132" s="44"/>
      <c r="AD132" s="44"/>
      <c r="AE132" s="44"/>
      <c r="AF132" s="44"/>
      <c r="AG132" s="44"/>
      <c r="AH132" s="44"/>
      <c r="AI132" s="44"/>
      <c r="AJ132" s="44"/>
      <c r="AK132" s="44"/>
      <c r="AL132" s="44"/>
    </row>
    <row r="133" spans="1:38">
      <c r="A133" s="44"/>
      <c r="B133" s="106"/>
      <c r="C133" s="106"/>
      <c r="D133" s="106"/>
      <c r="E133" s="106"/>
      <c r="F133" s="106"/>
      <c r="G133" s="106"/>
      <c r="H133" s="106"/>
      <c r="I133" s="106"/>
      <c r="J133" s="106"/>
      <c r="K133" s="106"/>
      <c r="L133" s="106"/>
      <c r="M133" s="106"/>
      <c r="N133" s="106"/>
      <c r="O133" s="106"/>
      <c r="P133" s="106"/>
      <c r="Q133" s="106"/>
      <c r="R133" s="106"/>
      <c r="S133" s="106"/>
      <c r="T133" s="44"/>
      <c r="U133" s="44"/>
      <c r="V133" s="44"/>
      <c r="W133" s="44"/>
      <c r="X133" s="44"/>
      <c r="Y133" s="44"/>
      <c r="Z133" s="44"/>
      <c r="AA133" s="44"/>
      <c r="AB133" s="44"/>
      <c r="AC133" s="44"/>
      <c r="AD133" s="44"/>
      <c r="AE133" s="44"/>
      <c r="AF133" s="44"/>
      <c r="AG133" s="44"/>
      <c r="AH133" s="44"/>
      <c r="AI133" s="44"/>
      <c r="AJ133" s="44"/>
      <c r="AK133" s="44"/>
      <c r="AL133" s="44"/>
    </row>
    <row r="134" spans="1:38">
      <c r="A134" s="44"/>
      <c r="B134" s="106"/>
      <c r="C134" s="106"/>
      <c r="D134" s="106"/>
      <c r="E134" s="106"/>
      <c r="F134" s="106"/>
      <c r="G134" s="106"/>
      <c r="H134" s="106"/>
      <c r="I134" s="106"/>
      <c r="J134" s="106"/>
      <c r="K134" s="106"/>
      <c r="L134" s="106"/>
      <c r="M134" s="106"/>
      <c r="N134" s="106"/>
      <c r="O134" s="106"/>
      <c r="P134" s="106"/>
      <c r="Q134" s="106"/>
      <c r="R134" s="106"/>
      <c r="S134" s="106"/>
      <c r="T134" s="44"/>
      <c r="U134" s="44"/>
      <c r="V134" s="44"/>
      <c r="W134" s="44"/>
      <c r="X134" s="44"/>
      <c r="Y134" s="44"/>
      <c r="Z134" s="44"/>
      <c r="AA134" s="44"/>
      <c r="AB134" s="44"/>
      <c r="AC134" s="44"/>
      <c r="AD134" s="44"/>
      <c r="AE134" s="44"/>
      <c r="AF134" s="44"/>
      <c r="AG134" s="44"/>
      <c r="AH134" s="44"/>
      <c r="AI134" s="44"/>
      <c r="AJ134" s="44"/>
      <c r="AK134" s="44"/>
      <c r="AL134" s="44"/>
    </row>
    <row r="135" spans="1:38">
      <c r="A135" s="44"/>
      <c r="B135" s="106"/>
      <c r="C135" s="106"/>
      <c r="D135" s="106"/>
      <c r="E135" s="106"/>
      <c r="F135" s="106"/>
      <c r="G135" s="106"/>
      <c r="H135" s="106"/>
      <c r="I135" s="106"/>
      <c r="J135" s="106"/>
      <c r="K135" s="106"/>
      <c r="L135" s="106"/>
      <c r="M135" s="106"/>
      <c r="N135" s="106"/>
      <c r="O135" s="106"/>
      <c r="P135" s="106"/>
      <c r="Q135" s="106"/>
      <c r="R135" s="106"/>
      <c r="S135" s="106"/>
      <c r="T135" s="44"/>
      <c r="U135" s="44"/>
      <c r="V135" s="44"/>
      <c r="W135" s="44"/>
      <c r="X135" s="44"/>
      <c r="Y135" s="44"/>
      <c r="Z135" s="44"/>
      <c r="AA135" s="44"/>
      <c r="AB135" s="44"/>
      <c r="AC135" s="44"/>
      <c r="AD135" s="44"/>
      <c r="AE135" s="44"/>
      <c r="AF135" s="44"/>
      <c r="AG135" s="44"/>
      <c r="AH135" s="44"/>
      <c r="AI135" s="44"/>
      <c r="AJ135" s="44"/>
      <c r="AK135" s="44"/>
      <c r="AL135" s="44"/>
    </row>
    <row r="136" spans="1:38">
      <c r="A136" s="44"/>
      <c r="B136" s="106"/>
      <c r="C136" s="106"/>
      <c r="D136" s="106"/>
      <c r="E136" s="106"/>
      <c r="F136" s="106"/>
      <c r="G136" s="106"/>
      <c r="H136" s="106"/>
      <c r="I136" s="106"/>
      <c r="J136" s="106"/>
      <c r="K136" s="106"/>
      <c r="L136" s="106"/>
      <c r="M136" s="106"/>
      <c r="N136" s="106"/>
      <c r="O136" s="106"/>
      <c r="P136" s="106"/>
      <c r="Q136" s="106"/>
      <c r="R136" s="106"/>
      <c r="S136" s="106"/>
      <c r="T136" s="44"/>
      <c r="U136" s="44"/>
      <c r="V136" s="44"/>
      <c r="W136" s="44"/>
      <c r="X136" s="44"/>
      <c r="Y136" s="44"/>
      <c r="Z136" s="44"/>
      <c r="AA136" s="44"/>
      <c r="AB136" s="44"/>
      <c r="AC136" s="44"/>
      <c r="AD136" s="44"/>
      <c r="AE136" s="44"/>
      <c r="AF136" s="44"/>
      <c r="AG136" s="44"/>
      <c r="AH136" s="44"/>
      <c r="AI136" s="44"/>
      <c r="AJ136" s="44"/>
      <c r="AK136" s="44"/>
      <c r="AL136" s="44"/>
    </row>
    <row r="137" spans="1:38">
      <c r="A137" s="44"/>
      <c r="B137" s="106"/>
      <c r="C137" s="106"/>
      <c r="D137" s="106"/>
      <c r="E137" s="106"/>
      <c r="F137" s="106"/>
      <c r="G137" s="106"/>
      <c r="H137" s="106"/>
      <c r="I137" s="106"/>
      <c r="J137" s="106"/>
      <c r="K137" s="106"/>
      <c r="L137" s="106"/>
      <c r="M137" s="106"/>
      <c r="N137" s="106"/>
      <c r="O137" s="106"/>
      <c r="P137" s="106"/>
      <c r="Q137" s="106"/>
      <c r="R137" s="106"/>
      <c r="S137" s="106"/>
      <c r="T137" s="44"/>
      <c r="U137" s="44"/>
      <c r="V137" s="44"/>
      <c r="W137" s="44"/>
      <c r="X137" s="44"/>
      <c r="Y137" s="44"/>
      <c r="Z137" s="44"/>
      <c r="AA137" s="44"/>
      <c r="AB137" s="44"/>
      <c r="AC137" s="44"/>
      <c r="AD137" s="44"/>
      <c r="AE137" s="44"/>
      <c r="AF137" s="44"/>
      <c r="AG137" s="44"/>
      <c r="AH137" s="44"/>
      <c r="AI137" s="44"/>
      <c r="AJ137" s="44"/>
      <c r="AK137" s="44"/>
      <c r="AL137" s="44"/>
    </row>
    <row r="138" spans="1:38">
      <c r="A138" s="44"/>
      <c r="B138" s="106"/>
      <c r="C138" s="106"/>
      <c r="D138" s="106"/>
      <c r="E138" s="106"/>
      <c r="F138" s="106"/>
      <c r="G138" s="106"/>
      <c r="H138" s="106"/>
      <c r="I138" s="106"/>
      <c r="J138" s="106"/>
      <c r="K138" s="106"/>
      <c r="L138" s="106"/>
      <c r="M138" s="106"/>
      <c r="N138" s="106"/>
      <c r="O138" s="106"/>
      <c r="P138" s="106"/>
      <c r="Q138" s="106"/>
      <c r="R138" s="106"/>
      <c r="S138" s="106"/>
      <c r="T138" s="44"/>
      <c r="U138" s="44"/>
      <c r="V138" s="44"/>
      <c r="W138" s="44"/>
      <c r="X138" s="44"/>
      <c r="Y138" s="44"/>
      <c r="Z138" s="44"/>
      <c r="AA138" s="44"/>
      <c r="AB138" s="44"/>
      <c r="AC138" s="44"/>
      <c r="AD138" s="44"/>
      <c r="AE138" s="44"/>
      <c r="AF138" s="44"/>
      <c r="AG138" s="44"/>
      <c r="AH138" s="44"/>
      <c r="AI138" s="44"/>
      <c r="AJ138" s="44"/>
      <c r="AK138" s="44"/>
      <c r="AL138" s="44"/>
    </row>
    <row r="139" spans="1:38">
      <c r="A139" s="44"/>
      <c r="B139" s="106"/>
      <c r="C139" s="106"/>
      <c r="D139" s="106"/>
      <c r="E139" s="106"/>
      <c r="F139" s="106"/>
      <c r="G139" s="106"/>
      <c r="H139" s="106"/>
      <c r="I139" s="106"/>
      <c r="J139" s="106"/>
      <c r="K139" s="106"/>
      <c r="L139" s="106"/>
      <c r="M139" s="106"/>
      <c r="N139" s="106"/>
      <c r="O139" s="106"/>
      <c r="P139" s="106"/>
      <c r="Q139" s="106"/>
      <c r="R139" s="106"/>
      <c r="S139" s="106"/>
      <c r="T139" s="44"/>
      <c r="U139" s="44"/>
      <c r="V139" s="44"/>
      <c r="W139" s="44"/>
      <c r="X139" s="44"/>
      <c r="Y139" s="44"/>
      <c r="Z139" s="44"/>
      <c r="AA139" s="44"/>
      <c r="AB139" s="44"/>
      <c r="AC139" s="44"/>
      <c r="AD139" s="44"/>
      <c r="AE139" s="44"/>
      <c r="AF139" s="44"/>
      <c r="AG139" s="44"/>
      <c r="AH139" s="44"/>
      <c r="AI139" s="44"/>
      <c r="AJ139" s="44"/>
      <c r="AK139" s="44"/>
      <c r="AL139" s="44"/>
    </row>
    <row r="140" spans="1:38">
      <c r="A140" s="44"/>
      <c r="B140" s="106"/>
      <c r="C140" s="106"/>
      <c r="D140" s="106"/>
      <c r="E140" s="106"/>
      <c r="F140" s="106"/>
      <c r="G140" s="106"/>
      <c r="H140" s="106"/>
      <c r="I140" s="106"/>
      <c r="J140" s="106"/>
      <c r="K140" s="106"/>
      <c r="L140" s="106"/>
      <c r="M140" s="106"/>
      <c r="N140" s="106"/>
      <c r="O140" s="106"/>
      <c r="P140" s="106"/>
      <c r="Q140" s="106"/>
      <c r="R140" s="106"/>
      <c r="S140" s="106"/>
      <c r="T140" s="44"/>
      <c r="U140" s="44"/>
      <c r="V140" s="44"/>
      <c r="W140" s="44"/>
      <c r="X140" s="44"/>
      <c r="Y140" s="44"/>
      <c r="Z140" s="44"/>
      <c r="AA140" s="44"/>
      <c r="AB140" s="44"/>
      <c r="AC140" s="44"/>
      <c r="AD140" s="44"/>
      <c r="AE140" s="44"/>
      <c r="AF140" s="44"/>
      <c r="AG140" s="44"/>
      <c r="AH140" s="44"/>
      <c r="AI140" s="44"/>
      <c r="AJ140" s="44"/>
      <c r="AK140" s="44"/>
      <c r="AL140" s="44"/>
    </row>
    <row r="141" spans="1:38">
      <c r="A141" s="44"/>
      <c r="B141" s="106"/>
      <c r="C141" s="106"/>
      <c r="D141" s="106"/>
      <c r="E141" s="106"/>
      <c r="F141" s="106"/>
      <c r="G141" s="106"/>
      <c r="H141" s="106"/>
      <c r="I141" s="106"/>
      <c r="J141" s="106"/>
      <c r="K141" s="106"/>
      <c r="L141" s="106"/>
      <c r="M141" s="106"/>
      <c r="N141" s="106"/>
      <c r="O141" s="106"/>
      <c r="P141" s="106"/>
      <c r="Q141" s="106"/>
      <c r="R141" s="106"/>
      <c r="S141" s="106"/>
      <c r="T141" s="44"/>
      <c r="U141" s="44"/>
      <c r="V141" s="44"/>
      <c r="W141" s="44"/>
      <c r="X141" s="44"/>
      <c r="Y141" s="44"/>
      <c r="Z141" s="44"/>
      <c r="AA141" s="44"/>
      <c r="AB141" s="44"/>
      <c r="AC141" s="44"/>
      <c r="AD141" s="44"/>
      <c r="AE141" s="44"/>
      <c r="AF141" s="44"/>
      <c r="AG141" s="44"/>
      <c r="AH141" s="44"/>
      <c r="AI141" s="44"/>
      <c r="AJ141" s="44"/>
      <c r="AK141" s="44"/>
      <c r="AL141" s="44"/>
    </row>
    <row r="142" spans="1:38">
      <c r="A142" s="44"/>
      <c r="B142" s="106"/>
      <c r="C142" s="106"/>
      <c r="D142" s="106"/>
      <c r="E142" s="106"/>
      <c r="F142" s="106"/>
      <c r="G142" s="106"/>
      <c r="H142" s="106"/>
      <c r="I142" s="106"/>
      <c r="J142" s="106"/>
      <c r="K142" s="106"/>
      <c r="L142" s="106"/>
      <c r="M142" s="106"/>
      <c r="N142" s="106"/>
      <c r="O142" s="106"/>
      <c r="P142" s="106"/>
      <c r="Q142" s="106"/>
      <c r="R142" s="106"/>
      <c r="S142" s="106"/>
      <c r="T142" s="44"/>
      <c r="U142" s="44"/>
      <c r="V142" s="44"/>
      <c r="W142" s="44"/>
      <c r="X142" s="44"/>
      <c r="Y142" s="44"/>
      <c r="Z142" s="44"/>
      <c r="AA142" s="44"/>
      <c r="AB142" s="44"/>
      <c r="AC142" s="44"/>
      <c r="AD142" s="44"/>
      <c r="AE142" s="44"/>
      <c r="AF142" s="44"/>
      <c r="AG142" s="44"/>
      <c r="AH142" s="44"/>
      <c r="AI142" s="44"/>
      <c r="AJ142" s="44"/>
      <c r="AK142" s="44"/>
      <c r="AL142" s="44"/>
    </row>
    <row r="143" spans="1:38">
      <c r="A143" s="44"/>
      <c r="B143" s="106"/>
      <c r="C143" s="106"/>
      <c r="D143" s="106"/>
      <c r="E143" s="106"/>
      <c r="F143" s="106"/>
      <c r="G143" s="106"/>
      <c r="H143" s="106"/>
      <c r="I143" s="106"/>
      <c r="J143" s="106"/>
      <c r="K143" s="106"/>
      <c r="L143" s="106"/>
      <c r="M143" s="106"/>
      <c r="N143" s="106"/>
      <c r="O143" s="106"/>
      <c r="P143" s="106"/>
      <c r="Q143" s="106"/>
      <c r="R143" s="106"/>
      <c r="S143" s="106"/>
      <c r="T143" s="44"/>
      <c r="U143" s="44"/>
      <c r="V143" s="44"/>
      <c r="W143" s="44"/>
      <c r="X143" s="44"/>
      <c r="Y143" s="44"/>
      <c r="Z143" s="44"/>
      <c r="AA143" s="44"/>
      <c r="AB143" s="44"/>
      <c r="AC143" s="44"/>
      <c r="AD143" s="44"/>
      <c r="AE143" s="44"/>
      <c r="AF143" s="44"/>
      <c r="AG143" s="44"/>
      <c r="AH143" s="44"/>
      <c r="AI143" s="44"/>
      <c r="AJ143" s="44"/>
      <c r="AK143" s="44"/>
      <c r="AL143" s="44"/>
    </row>
    <row r="144" spans="1:38">
      <c r="A144" s="44"/>
      <c r="B144" s="106"/>
      <c r="C144" s="106"/>
      <c r="D144" s="106"/>
      <c r="E144" s="106"/>
      <c r="F144" s="106"/>
      <c r="G144" s="106"/>
      <c r="H144" s="106"/>
      <c r="I144" s="106"/>
      <c r="J144" s="106"/>
      <c r="K144" s="106"/>
      <c r="L144" s="106"/>
      <c r="M144" s="106"/>
      <c r="N144" s="106"/>
      <c r="O144" s="106"/>
      <c r="P144" s="106"/>
      <c r="Q144" s="106"/>
      <c r="R144" s="106"/>
      <c r="S144" s="106"/>
      <c r="T144" s="44"/>
      <c r="U144" s="44"/>
      <c r="V144" s="44"/>
      <c r="W144" s="44"/>
      <c r="X144" s="44"/>
      <c r="Y144" s="44"/>
      <c r="Z144" s="44"/>
      <c r="AA144" s="44"/>
      <c r="AB144" s="44"/>
      <c r="AC144" s="44"/>
      <c r="AD144" s="44"/>
      <c r="AE144" s="44"/>
      <c r="AF144" s="44"/>
      <c r="AG144" s="44"/>
      <c r="AH144" s="44"/>
      <c r="AI144" s="44"/>
      <c r="AJ144" s="44"/>
      <c r="AK144" s="44"/>
      <c r="AL144" s="44"/>
    </row>
    <row r="145" spans="1:38">
      <c r="A145" s="44"/>
      <c r="B145" s="106"/>
      <c r="C145" s="106"/>
      <c r="D145" s="106"/>
      <c r="E145" s="106"/>
      <c r="F145" s="106"/>
      <c r="G145" s="106"/>
      <c r="H145" s="106"/>
      <c r="I145" s="106"/>
      <c r="J145" s="106"/>
      <c r="K145" s="106"/>
      <c r="L145" s="106"/>
      <c r="M145" s="106"/>
      <c r="N145" s="106"/>
      <c r="O145" s="106"/>
      <c r="P145" s="106"/>
      <c r="Q145" s="106"/>
      <c r="R145" s="106"/>
      <c r="S145" s="106"/>
      <c r="T145" s="44"/>
      <c r="U145" s="44"/>
      <c r="V145" s="44"/>
      <c r="W145" s="44"/>
      <c r="X145" s="44"/>
      <c r="Y145" s="44"/>
      <c r="Z145" s="44"/>
      <c r="AA145" s="44"/>
      <c r="AB145" s="44"/>
      <c r="AC145" s="44"/>
      <c r="AD145" s="44"/>
      <c r="AE145" s="44"/>
      <c r="AF145" s="44"/>
      <c r="AG145" s="44"/>
      <c r="AH145" s="44"/>
      <c r="AI145" s="44"/>
      <c r="AJ145" s="44"/>
      <c r="AK145" s="44"/>
      <c r="AL145" s="44"/>
    </row>
    <row r="146" spans="1:38">
      <c r="A146" s="44"/>
      <c r="B146" s="106"/>
      <c r="C146" s="106"/>
      <c r="D146" s="106"/>
      <c r="E146" s="106"/>
      <c r="F146" s="106"/>
      <c r="G146" s="106"/>
      <c r="H146" s="106"/>
      <c r="I146" s="106"/>
      <c r="J146" s="106"/>
      <c r="K146" s="106"/>
      <c r="L146" s="106"/>
      <c r="M146" s="106"/>
      <c r="N146" s="106"/>
      <c r="O146" s="106"/>
      <c r="P146" s="106"/>
      <c r="Q146" s="106"/>
      <c r="R146" s="106"/>
      <c r="S146" s="106"/>
      <c r="T146" s="44"/>
      <c r="U146" s="44"/>
      <c r="V146" s="44"/>
      <c r="W146" s="44"/>
      <c r="X146" s="44"/>
      <c r="Y146" s="44"/>
      <c r="Z146" s="44"/>
      <c r="AA146" s="44"/>
      <c r="AB146" s="44"/>
      <c r="AC146" s="44"/>
      <c r="AD146" s="44"/>
      <c r="AE146" s="44"/>
      <c r="AF146" s="44"/>
      <c r="AG146" s="44"/>
      <c r="AH146" s="44"/>
      <c r="AI146" s="44"/>
      <c r="AJ146" s="44"/>
      <c r="AK146" s="44"/>
      <c r="AL146" s="44"/>
    </row>
    <row r="147" spans="1:38">
      <c r="A147" s="44"/>
      <c r="B147" s="106"/>
      <c r="C147" s="106"/>
      <c r="D147" s="106"/>
      <c r="E147" s="106"/>
      <c r="F147" s="106"/>
      <c r="G147" s="106"/>
      <c r="H147" s="106"/>
      <c r="I147" s="106"/>
      <c r="J147" s="106"/>
      <c r="K147" s="106"/>
      <c r="L147" s="106"/>
      <c r="M147" s="106"/>
      <c r="N147" s="106"/>
      <c r="O147" s="106"/>
      <c r="P147" s="106"/>
      <c r="Q147" s="106"/>
      <c r="R147" s="106"/>
      <c r="S147" s="106"/>
      <c r="T147" s="44"/>
      <c r="U147" s="44"/>
      <c r="V147" s="44"/>
      <c r="W147" s="44"/>
      <c r="X147" s="44"/>
      <c r="Y147" s="44"/>
      <c r="Z147" s="44"/>
      <c r="AA147" s="44"/>
      <c r="AB147" s="44"/>
      <c r="AC147" s="44"/>
      <c r="AD147" s="44"/>
      <c r="AE147" s="44"/>
      <c r="AF147" s="44"/>
      <c r="AG147" s="44"/>
      <c r="AH147" s="44"/>
      <c r="AI147" s="44"/>
      <c r="AJ147" s="44"/>
      <c r="AK147" s="44"/>
      <c r="AL147" s="44"/>
    </row>
  </sheetData>
  <mergeCells count="4">
    <mergeCell ref="A5:P5"/>
    <mergeCell ref="A26:P26"/>
    <mergeCell ref="A1:L3"/>
    <mergeCell ref="A49:P49"/>
  </mergeCells>
  <phoneticPr fontId="0" type="noConversion"/>
  <pageMargins left="0.75" right="0.75" top="1" bottom="1" header="0.5" footer="0.5"/>
  <pageSetup scale="76" orientation="landscape"/>
  <legacy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enableFormatConditionsCalculation="0">
    <pageSetUpPr fitToPage="1"/>
  </sheetPr>
  <dimension ref="A1:V182"/>
  <sheetViews>
    <sheetView showGridLines="0" workbookViewId="0">
      <selection activeCell="C5" sqref="C5"/>
    </sheetView>
  </sheetViews>
  <sheetFormatPr baseColWidth="10" defaultColWidth="8.83203125" defaultRowHeight="12" x14ac:dyDescent="0"/>
  <cols>
    <col min="1" max="1" width="3.5" customWidth="1"/>
    <col min="3" max="4" width="12.6640625" customWidth="1"/>
    <col min="6" max="6" width="2.5" customWidth="1"/>
    <col min="7" max="8" width="13.5" customWidth="1"/>
    <col min="9" max="9" width="2.5" style="44" customWidth="1"/>
    <col min="10" max="10" width="16.83203125" customWidth="1"/>
    <col min="11" max="12" width="12.6640625" customWidth="1"/>
    <col min="14" max="14" width="9.1640625" style="44" customWidth="1"/>
    <col min="15" max="15" width="11.5" bestFit="1" customWidth="1"/>
    <col min="16" max="16" width="8.6640625" bestFit="1" customWidth="1"/>
    <col min="17" max="22" width="9.1640625" style="44" customWidth="1"/>
  </cols>
  <sheetData>
    <row r="1" spans="1:16" ht="17">
      <c r="A1" s="60" t="str">
        <f>CONCATENATE("Region/Country: ",SAM!C4)</f>
        <v>Region/Country: Thailand</v>
      </c>
      <c r="B1" s="44"/>
      <c r="C1" s="44"/>
      <c r="D1" s="44"/>
      <c r="E1" s="44"/>
      <c r="F1" s="44"/>
      <c r="G1" s="44"/>
      <c r="H1" s="44"/>
      <c r="J1" s="44"/>
      <c r="K1" s="44"/>
      <c r="L1" s="44"/>
      <c r="M1" s="44"/>
      <c r="O1" s="44"/>
      <c r="P1" s="44"/>
    </row>
    <row r="2" spans="1:16" ht="13" thickBot="1">
      <c r="A2" s="44"/>
      <c r="B2" s="44"/>
      <c r="C2" s="44"/>
      <c r="D2" s="44"/>
      <c r="E2" s="44"/>
      <c r="F2" s="44"/>
      <c r="G2" s="44"/>
      <c r="H2" s="44"/>
      <c r="J2" s="44"/>
      <c r="K2" s="44"/>
      <c r="L2" s="44"/>
      <c r="M2" s="44"/>
      <c r="O2" s="44"/>
      <c r="P2" s="44"/>
    </row>
    <row r="3" spans="1:16" ht="15">
      <c r="A3" s="57" t="s">
        <v>172</v>
      </c>
      <c r="B3" s="10"/>
      <c r="C3" s="10"/>
      <c r="D3" s="58"/>
      <c r="E3" s="11"/>
      <c r="F3" s="44"/>
      <c r="G3" s="57" t="s">
        <v>173</v>
      </c>
      <c r="H3" s="11"/>
      <c r="J3" s="57" t="s">
        <v>174</v>
      </c>
      <c r="K3" s="10"/>
      <c r="L3" s="10"/>
      <c r="M3" s="11"/>
      <c r="O3" s="44"/>
      <c r="P3" s="44"/>
    </row>
    <row r="4" spans="1:16">
      <c r="A4" s="2">
        <v>1</v>
      </c>
      <c r="B4" s="40" t="s">
        <v>709</v>
      </c>
      <c r="C4" s="4">
        <f>scale*SUM(SAM!B7:B11,SAM!B17,SAM!B18)/pp_a0</f>
        <v>16856.241785385457</v>
      </c>
      <c r="D4" s="4">
        <f>xp_a0</f>
        <v>16856.241785385457</v>
      </c>
      <c r="E4" s="32">
        <f t="shared" ref="E4:E75" si="0">IF(C4&lt;&gt;0,100*D4/C4-100,"")</f>
        <v>0</v>
      </c>
      <c r="F4" s="44"/>
      <c r="G4" s="53" t="s">
        <v>710</v>
      </c>
      <c r="H4" s="16">
        <f>pp_a^(1+sigmax_a)-gd_a*pd_a^(1+sigmax_a)-ge_a*pe_a^(1+sigmax_a)</f>
        <v>-5.7760950411545053E-8</v>
      </c>
      <c r="J4" s="53" t="s">
        <v>776</v>
      </c>
      <c r="K4" s="13">
        <f>scale*SAM!B17/(pa_a0*xap_aa0+pa_o0*xap_oa0)</f>
        <v>-2.9480506007933134E-6</v>
      </c>
      <c r="L4" s="13">
        <f>itp_aa0</f>
        <v>-2.9480506007933134E-6</v>
      </c>
      <c r="M4" s="55">
        <f>IF(K4&lt;&gt;0,100*L4/K4-100,"")</f>
        <v>0</v>
      </c>
      <c r="O4" s="4">
        <f>xp_a0</f>
        <v>16856.241785385457</v>
      </c>
      <c r="P4" s="13">
        <f>itp_aa0</f>
        <v>-2.9480506007933134E-6</v>
      </c>
    </row>
    <row r="5" spans="1:16">
      <c r="A5" s="2">
        <f>A4+1</f>
        <v>2</v>
      </c>
      <c r="B5" s="40" t="s">
        <v>49</v>
      </c>
      <c r="C5" s="4">
        <f>scale*SUM(SAM!C7:C11,SAM!C17,SAM!C18)/pp_o0</f>
        <v>237719.40251862002</v>
      </c>
      <c r="D5" s="4">
        <f>xp_o0</f>
        <v>237719.40251862002</v>
      </c>
      <c r="E5" s="32">
        <f t="shared" si="0"/>
        <v>0</v>
      </c>
      <c r="F5" s="44"/>
      <c r="G5" s="53" t="s">
        <v>56</v>
      </c>
      <c r="H5" s="16">
        <f>pp_o^(1+sigmax_o)-gd_o*pd_o^(1+sigmax_o)-ge_o*pe_o^(1+sigmax_o)</f>
        <v>1.508620914913994E-6</v>
      </c>
      <c r="J5" s="53" t="s">
        <v>777</v>
      </c>
      <c r="K5" s="13">
        <f>scale*SAM!C17/(pa_a0*xap_ao0+pa_o0*xap_oo0)</f>
        <v>2.6305533146478807E-4</v>
      </c>
      <c r="L5" s="13">
        <f>itp_ao0</f>
        <v>2.6305533146478807E-4</v>
      </c>
      <c r="M5" s="55">
        <f t="shared" ref="M5:M32" si="1">IF(K5&lt;&gt;0,100*L5/K5-100,"")</f>
        <v>0</v>
      </c>
      <c r="O5" s="4">
        <f>xp_o0</f>
        <v>237719.40251862002</v>
      </c>
      <c r="P5" s="13">
        <f>itp_ao0</f>
        <v>2.6305533146478807E-4</v>
      </c>
    </row>
    <row r="6" spans="1:16">
      <c r="A6" s="2">
        <f t="shared" ref="A6:A69" si="2">A5+1</f>
        <v>3</v>
      </c>
      <c r="B6" s="40" t="s">
        <v>712</v>
      </c>
      <c r="C6" s="4">
        <f>scale*SAM!B9/wage0</f>
        <v>4306.2764146449999</v>
      </c>
      <c r="D6" s="4">
        <f>ld_a0</f>
        <v>4306.2764146449999</v>
      </c>
      <c r="E6" s="32">
        <f t="shared" si="0"/>
        <v>0</v>
      </c>
      <c r="F6" s="44"/>
      <c r="G6" s="53" t="s">
        <v>711</v>
      </c>
      <c r="H6" s="16">
        <f>ld_a*lambdal_a*wage^sigmav_a-al_a*va_a*(lambdal_a*pva_a)^sigmav_a</f>
        <v>0</v>
      </c>
      <c r="J6" s="53" t="s">
        <v>778</v>
      </c>
      <c r="K6" s="13">
        <f>(scale*SAM!B17-itp_aa0*pa_a0*xap_aa0)/(pa_o0*xap_oa0)</f>
        <v>-2.9480506007933134E-6</v>
      </c>
      <c r="L6" s="13">
        <f>itp_oa0</f>
        <v>-2.9480506007933134E-6</v>
      </c>
      <c r="M6" s="55">
        <f t="shared" si="1"/>
        <v>0</v>
      </c>
      <c r="O6" s="4">
        <f>ld_a0</f>
        <v>4306.2764146449999</v>
      </c>
      <c r="P6" s="13">
        <f>itp_oa0</f>
        <v>-2.9480506007933134E-6</v>
      </c>
    </row>
    <row r="7" spans="1:16">
      <c r="A7" s="2">
        <f t="shared" si="2"/>
        <v>4</v>
      </c>
      <c r="B7" s="40" t="s">
        <v>50</v>
      </c>
      <c r="C7" s="4">
        <f>scale*SAM!C9/wage0</f>
        <v>26485.782576470003</v>
      </c>
      <c r="D7" s="4">
        <f>ld_o0</f>
        <v>26485.782576470003</v>
      </c>
      <c r="E7" s="32">
        <f t="shared" si="0"/>
        <v>0</v>
      </c>
      <c r="F7" s="44"/>
      <c r="G7" s="53" t="s">
        <v>71</v>
      </c>
      <c r="H7" s="16">
        <f>ld_o*lambdal_o*wage^sigmav_o-al_o*va_o*(lambdal_o*pva_o)^sigmav_o</f>
        <v>0</v>
      </c>
      <c r="J7" s="53" t="s">
        <v>57</v>
      </c>
      <c r="K7" s="13">
        <f>(scale*SAM!C17-itp_ao0*pa_a0*xap_ao0)/(pa_o0*xap_oo0)</f>
        <v>2.6305533146478807E-4</v>
      </c>
      <c r="L7" s="13">
        <f>itp_oo0</f>
        <v>2.6305533146478807E-4</v>
      </c>
      <c r="M7" s="55">
        <f t="shared" si="1"/>
        <v>0</v>
      </c>
      <c r="O7" s="4">
        <f>ld_o0</f>
        <v>26485.782576470003</v>
      </c>
      <c r="P7" s="13">
        <f>itp_oo0</f>
        <v>2.6305533146478807E-4</v>
      </c>
    </row>
    <row r="8" spans="1:16">
      <c r="A8" s="2">
        <f t="shared" si="2"/>
        <v>5</v>
      </c>
      <c r="B8" s="40" t="s">
        <v>714</v>
      </c>
      <c r="C8" s="4">
        <f>scale*(SAM!B10)/rent_a0</f>
        <v>5775.2975462000013</v>
      </c>
      <c r="D8" s="4">
        <f>kd_a0</f>
        <v>5775.2975462000013</v>
      </c>
      <c r="E8" s="32">
        <f t="shared" si="0"/>
        <v>0</v>
      </c>
      <c r="F8" s="44"/>
      <c r="G8" s="53" t="s">
        <v>713</v>
      </c>
      <c r="H8" s="16">
        <f>kd_a*lambdak_a*rent_a^sigmak_a-ak_a*kf_a*(lambdak_a*pkf_a)^sigmak_a</f>
        <v>0</v>
      </c>
      <c r="J8" s="53" t="s">
        <v>779</v>
      </c>
      <c r="K8" s="13">
        <f>pp_a0/px_a0-1</f>
        <v>1.5153648976862222E-3</v>
      </c>
      <c r="L8" s="13">
        <f>tp_a0</f>
        <v>1.5153648976862222E-3</v>
      </c>
      <c r="M8" s="55">
        <f t="shared" si="1"/>
        <v>0</v>
      </c>
      <c r="O8" s="4">
        <f>kd_a0</f>
        <v>5775.2975462000013</v>
      </c>
      <c r="P8" s="13">
        <f>tp_a0</f>
        <v>1.5153648976862222E-3</v>
      </c>
    </row>
    <row r="9" spans="1:16">
      <c r="A9" s="2">
        <f t="shared" si="2"/>
        <v>6</v>
      </c>
      <c r="B9" s="40" t="s">
        <v>51</v>
      </c>
      <c r="C9" s="4">
        <f>scale*(SAM!C10)/rent_o0</f>
        <v>60737.548934599996</v>
      </c>
      <c r="D9" s="4">
        <f>kd_o0</f>
        <v>60737.548934599996</v>
      </c>
      <c r="E9" s="32">
        <f t="shared" si="0"/>
        <v>0</v>
      </c>
      <c r="F9" s="44"/>
      <c r="G9" s="53" t="s">
        <v>70</v>
      </c>
      <c r="H9" s="16">
        <f>kd_o*lambdak_o*rent_o^sigmak_o-ak_o*kf_o*(lambdak_o*pkf_o)^sigmak_o</f>
        <v>0</v>
      </c>
      <c r="J9" s="53" t="s">
        <v>58</v>
      </c>
      <c r="K9" s="13">
        <f>pp_o0/px_o0-1</f>
        <v>4.315772550043695E-2</v>
      </c>
      <c r="L9" s="13">
        <f>tp_o0</f>
        <v>4.315772550043695E-2</v>
      </c>
      <c r="M9" s="55">
        <f t="shared" si="1"/>
        <v>0</v>
      </c>
      <c r="O9" s="4">
        <f>kd_o0</f>
        <v>60737.548934599996</v>
      </c>
      <c r="P9" s="13">
        <f>tp_o0</f>
        <v>4.315772550043695E-2</v>
      </c>
    </row>
    <row r="10" spans="1:16">
      <c r="A10" s="2">
        <f t="shared" si="2"/>
        <v>7</v>
      </c>
      <c r="B10" s="40" t="s">
        <v>716</v>
      </c>
      <c r="C10" s="4">
        <f>scale*SAM!B11/pf_a0</f>
        <v>1374.2495100000001</v>
      </c>
      <c r="D10" s="4">
        <f>fd_a0</f>
        <v>1374.2495100000001</v>
      </c>
      <c r="E10" s="32">
        <f t="shared" si="0"/>
        <v>0</v>
      </c>
      <c r="F10" s="44"/>
      <c r="G10" s="53" t="s">
        <v>715</v>
      </c>
      <c r="H10" s="16">
        <f>fd_a*lambdaf_a*pf_a^sigmak_a-af_a*kf_a*(lambdaf_a*pkf_a)^sigmak_a</f>
        <v>0</v>
      </c>
      <c r="J10" s="53" t="s">
        <v>780</v>
      </c>
      <c r="K10" s="14">
        <v>1</v>
      </c>
      <c r="L10" s="14">
        <f>lambdal_a0*1</f>
        <v>1</v>
      </c>
      <c r="M10" s="55">
        <f t="shared" si="1"/>
        <v>0</v>
      </c>
      <c r="O10" s="4">
        <f>fd_a0</f>
        <v>1374.2495100000001</v>
      </c>
      <c r="P10" s="14">
        <f>lambdal_a0*1</f>
        <v>1</v>
      </c>
    </row>
    <row r="11" spans="1:16">
      <c r="A11" s="2">
        <f t="shared" si="2"/>
        <v>8</v>
      </c>
      <c r="B11" s="40" t="s">
        <v>692</v>
      </c>
      <c r="C11" s="4">
        <f>scale*SAM!C11/pf_o0</f>
        <v>223.53860499999999</v>
      </c>
      <c r="D11" s="4">
        <f>fd_o0</f>
        <v>223.53860499999999</v>
      </c>
      <c r="E11" s="32">
        <f t="shared" si="0"/>
        <v>0</v>
      </c>
      <c r="F11" s="44"/>
      <c r="G11" s="53" t="s">
        <v>694</v>
      </c>
      <c r="H11" s="16">
        <f>fd_o*lambdaf_o*pf_o^sigmak_o-af_o*kf_o*(lambdaf_o*pkf_o)^sigmak_o</f>
        <v>0</v>
      </c>
      <c r="J11" s="53" t="s">
        <v>68</v>
      </c>
      <c r="K11" s="14">
        <v>1</v>
      </c>
      <c r="L11" s="14">
        <f>lambdal_o0*1</f>
        <v>1</v>
      </c>
      <c r="M11" s="55">
        <f t="shared" si="1"/>
        <v>0</v>
      </c>
      <c r="O11" s="4">
        <f>fd_o0</f>
        <v>223.53860499999999</v>
      </c>
      <c r="P11" s="14">
        <f>lambdal_o0*1</f>
        <v>1</v>
      </c>
    </row>
    <row r="12" spans="1:16">
      <c r="A12" s="2">
        <f t="shared" si="2"/>
        <v>9</v>
      </c>
      <c r="B12" s="40" t="s">
        <v>717</v>
      </c>
      <c r="C12" s="4">
        <f>scale*SAM!B7/pa_a0</f>
        <v>665.16760308399989</v>
      </c>
      <c r="D12" s="4">
        <f>xap_aa0</f>
        <v>665.16760308399989</v>
      </c>
      <c r="E12" s="32">
        <f t="shared" si="0"/>
        <v>0</v>
      </c>
      <c r="F12" s="44"/>
      <c r="G12" s="53" t="s">
        <v>718</v>
      </c>
      <c r="H12" s="16">
        <f>xap_aa-a_aa*nd_a</f>
        <v>0</v>
      </c>
      <c r="J12" s="53" t="s">
        <v>781</v>
      </c>
      <c r="K12" s="14">
        <v>1</v>
      </c>
      <c r="L12" s="14">
        <f>lambdak_a0*1</f>
        <v>1</v>
      </c>
      <c r="M12" s="55">
        <f t="shared" si="1"/>
        <v>0</v>
      </c>
      <c r="O12" s="4">
        <f>xap_aa0</f>
        <v>665.16760308399989</v>
      </c>
      <c r="P12" s="14">
        <f>lambdak_a0*1</f>
        <v>1</v>
      </c>
    </row>
    <row r="13" spans="1:16">
      <c r="A13" s="2">
        <f t="shared" si="2"/>
        <v>10</v>
      </c>
      <c r="B13" s="40" t="s">
        <v>719</v>
      </c>
      <c r="C13" s="4">
        <f>scale*SAM!C7/pa_a0</f>
        <v>12156.791332244002</v>
      </c>
      <c r="D13" s="4">
        <f>xap_ao0</f>
        <v>12156.791332244002</v>
      </c>
      <c r="E13" s="32">
        <f t="shared" si="0"/>
        <v>0</v>
      </c>
      <c r="F13" s="44"/>
      <c r="G13" s="53" t="s">
        <v>720</v>
      </c>
      <c r="H13" s="16">
        <f>xap_ao-a_ao*nd_o</f>
        <v>0</v>
      </c>
      <c r="J13" s="53" t="s">
        <v>69</v>
      </c>
      <c r="K13" s="14">
        <v>1</v>
      </c>
      <c r="L13" s="14">
        <f>lambdak_o0*1</f>
        <v>1</v>
      </c>
      <c r="M13" s="55">
        <f t="shared" si="1"/>
        <v>0</v>
      </c>
      <c r="O13" s="4">
        <f>xap_ao0</f>
        <v>12156.791332244002</v>
      </c>
      <c r="P13" s="14">
        <f>lambdak_o0*1</f>
        <v>1</v>
      </c>
    </row>
    <row r="14" spans="1:16">
      <c r="A14" s="2">
        <f t="shared" si="2"/>
        <v>11</v>
      </c>
      <c r="B14" s="40" t="s">
        <v>721</v>
      </c>
      <c r="C14" s="4">
        <f>scale*SAM!B8/pa_o0</f>
        <v>4709.7618488514572</v>
      </c>
      <c r="D14" s="4">
        <f>xap_oa0</f>
        <v>4709.7618488514572</v>
      </c>
      <c r="E14" s="32">
        <f t="shared" si="0"/>
        <v>0</v>
      </c>
      <c r="F14" s="44"/>
      <c r="G14" s="53" t="s">
        <v>722</v>
      </c>
      <c r="H14" s="16">
        <f>xap_oa-a_oa*nd_a</f>
        <v>0</v>
      </c>
      <c r="J14" s="53" t="s">
        <v>782</v>
      </c>
      <c r="K14" s="14">
        <v>1</v>
      </c>
      <c r="L14" s="14">
        <f>lambdaf_a0</f>
        <v>1</v>
      </c>
      <c r="M14" s="55">
        <f t="shared" si="1"/>
        <v>0</v>
      </c>
      <c r="O14" s="4">
        <f>xap_oa0</f>
        <v>4709.7618488514572</v>
      </c>
      <c r="P14" s="14">
        <f>lambdaf_a0</f>
        <v>1</v>
      </c>
    </row>
    <row r="15" spans="1:16">
      <c r="A15" s="2">
        <f t="shared" si="2"/>
        <v>12</v>
      </c>
      <c r="B15" s="40" t="s">
        <v>52</v>
      </c>
      <c r="C15" s="4">
        <f>scale*SAM!C8/pa_o0</f>
        <v>128243.83430930001</v>
      </c>
      <c r="D15" s="4">
        <f>xap_oo0</f>
        <v>128243.83430930001</v>
      </c>
      <c r="E15" s="32">
        <f t="shared" si="0"/>
        <v>0</v>
      </c>
      <c r="F15" s="44"/>
      <c r="G15" s="53" t="s">
        <v>72</v>
      </c>
      <c r="H15" s="16">
        <f>xap_oo-a_oo*nd_o</f>
        <v>0</v>
      </c>
      <c r="J15" s="53" t="s">
        <v>699</v>
      </c>
      <c r="K15" s="14">
        <v>1</v>
      </c>
      <c r="L15" s="14">
        <f>lambdaf_o0</f>
        <v>1</v>
      </c>
      <c r="M15" s="55">
        <f t="shared" si="1"/>
        <v>0</v>
      </c>
      <c r="O15" s="4">
        <f>xap_oo0</f>
        <v>128243.83430930001</v>
      </c>
      <c r="P15" s="14">
        <f>lambdaf_o0</f>
        <v>1</v>
      </c>
    </row>
    <row r="16" spans="1:16">
      <c r="A16" s="2">
        <f t="shared" si="2"/>
        <v>13</v>
      </c>
      <c r="B16" s="40" t="s">
        <v>53</v>
      </c>
      <c r="C16" s="9">
        <v>1</v>
      </c>
      <c r="D16" s="5">
        <f>wage0</f>
        <v>1</v>
      </c>
      <c r="E16" s="32">
        <f t="shared" si="0"/>
        <v>0</v>
      </c>
      <c r="F16" s="44"/>
      <c r="G16" s="53" t="s">
        <v>126</v>
      </c>
      <c r="H16" s="16">
        <f>Ls-ld_a-ld_o</f>
        <v>0</v>
      </c>
      <c r="J16" s="53" t="s">
        <v>783</v>
      </c>
      <c r="K16" s="13">
        <f>scale*SAM!G17/(pa_a0*xac_a0+pa_o0*xac_o0)</f>
        <v>-2.8727144631833062E-4</v>
      </c>
      <c r="L16" s="13">
        <f>itc_a0</f>
        <v>-2.8727144631833062E-4</v>
      </c>
      <c r="M16" s="55">
        <f t="shared" si="1"/>
        <v>0</v>
      </c>
      <c r="O16" s="5">
        <f>wage0</f>
        <v>1</v>
      </c>
      <c r="P16" s="13">
        <f>itc_a0</f>
        <v>-2.8727144631833062E-4</v>
      </c>
    </row>
    <row r="17" spans="1:16">
      <c r="A17" s="2">
        <f t="shared" si="2"/>
        <v>14</v>
      </c>
      <c r="B17" s="40" t="s">
        <v>723</v>
      </c>
      <c r="C17" s="9">
        <v>1</v>
      </c>
      <c r="D17" s="5">
        <f>rent_a0</f>
        <v>1</v>
      </c>
      <c r="E17" s="32">
        <f t="shared" si="0"/>
        <v>0</v>
      </c>
      <c r="F17" s="44"/>
      <c r="G17" s="53" t="s">
        <v>724</v>
      </c>
      <c r="H17" s="16">
        <f>kd_a-ks_a</f>
        <v>0</v>
      </c>
      <c r="J17" s="53" t="s">
        <v>77</v>
      </c>
      <c r="K17" s="13">
        <f>(scale*SAM!G17-itc_a0*pa_a0*xac_a0)/(pa_o0*xac_o0)</f>
        <v>-2.8727144631833062E-4</v>
      </c>
      <c r="L17" s="13">
        <f>itc_o0</f>
        <v>-2.8727144631833062E-4</v>
      </c>
      <c r="M17" s="55">
        <f t="shared" si="1"/>
        <v>0</v>
      </c>
      <c r="O17" s="5">
        <f>rent_a0</f>
        <v>1</v>
      </c>
      <c r="P17" s="13">
        <f>itc_o0</f>
        <v>-2.8727144631833062E-4</v>
      </c>
    </row>
    <row r="18" spans="1:16">
      <c r="A18" s="2">
        <f t="shared" si="2"/>
        <v>15</v>
      </c>
      <c r="B18" s="40" t="s">
        <v>54</v>
      </c>
      <c r="C18" s="9">
        <v>1</v>
      </c>
      <c r="D18" s="5">
        <f>rent_o0</f>
        <v>1</v>
      </c>
      <c r="E18" s="32">
        <f t="shared" si="0"/>
        <v>0</v>
      </c>
      <c r="F18" s="44"/>
      <c r="G18" s="53" t="s">
        <v>127</v>
      </c>
      <c r="H18" s="16">
        <f>kd_o-ks_o</f>
        <v>0</v>
      </c>
      <c r="J18" s="53" t="s">
        <v>90</v>
      </c>
      <c r="K18" s="4">
        <f>scale*SAM!H12</f>
        <v>0</v>
      </c>
      <c r="L18" s="4">
        <f>gtrh0</f>
        <v>0</v>
      </c>
      <c r="M18" s="55" t="str">
        <f t="shared" si="1"/>
        <v/>
      </c>
      <c r="O18" s="5">
        <f>rent_o0</f>
        <v>1</v>
      </c>
      <c r="P18" s="4">
        <f>gtrh0</f>
        <v>0</v>
      </c>
    </row>
    <row r="19" spans="1:16">
      <c r="A19" s="2">
        <f t="shared" si="2"/>
        <v>16</v>
      </c>
      <c r="B19" s="40" t="s">
        <v>725</v>
      </c>
      <c r="C19" s="9">
        <v>1</v>
      </c>
      <c r="D19" s="5">
        <f>pf_a0</f>
        <v>1</v>
      </c>
      <c r="E19" s="32">
        <f t="shared" si="0"/>
        <v>0</v>
      </c>
      <c r="F19" s="44"/>
      <c r="G19" s="53" t="s">
        <v>726</v>
      </c>
      <c r="H19" s="16">
        <f>fd_a-fs_a</f>
        <v>0</v>
      </c>
      <c r="J19" s="53" t="s">
        <v>784</v>
      </c>
      <c r="K19" s="13">
        <f>scale*SAM!J17/(pa_a0*xag_a0+pa_o0*xag_o0)</f>
        <v>0</v>
      </c>
      <c r="L19" s="13">
        <f>itg_a0</f>
        <v>0</v>
      </c>
      <c r="M19" s="55" t="str">
        <f t="shared" si="1"/>
        <v/>
      </c>
      <c r="O19" s="5">
        <f>pf_a0</f>
        <v>1</v>
      </c>
      <c r="P19" s="13">
        <f>itg_a0</f>
        <v>0</v>
      </c>
    </row>
    <row r="20" spans="1:16">
      <c r="A20" s="2">
        <f t="shared" si="2"/>
        <v>17</v>
      </c>
      <c r="B20" s="40" t="s">
        <v>691</v>
      </c>
      <c r="C20" s="9">
        <v>1</v>
      </c>
      <c r="D20" s="5">
        <f>pf_o0</f>
        <v>1</v>
      </c>
      <c r="E20" s="32">
        <f t="shared" si="0"/>
        <v>0</v>
      </c>
      <c r="F20" s="44"/>
      <c r="G20" s="53" t="s">
        <v>693</v>
      </c>
      <c r="H20" s="16">
        <f>fd_o-fs_o</f>
        <v>0</v>
      </c>
      <c r="J20" s="53" t="s">
        <v>141</v>
      </c>
      <c r="K20" s="13">
        <f>(scale*SAM!J17-itg_a0*pa_a0*xag_a0)/(pa_o0*xag_o0)</f>
        <v>0</v>
      </c>
      <c r="L20" s="13">
        <f>itg_o0</f>
        <v>0</v>
      </c>
      <c r="M20" s="55" t="str">
        <f t="shared" si="1"/>
        <v/>
      </c>
      <c r="O20" s="5">
        <f>pf_o0</f>
        <v>1</v>
      </c>
      <c r="P20" s="13">
        <f>itg_o0</f>
        <v>0</v>
      </c>
    </row>
    <row r="21" spans="1:16">
      <c r="A21" s="2">
        <f t="shared" si="2"/>
        <v>18</v>
      </c>
      <c r="B21" s="40" t="s">
        <v>727</v>
      </c>
      <c r="C21" s="9">
        <v>1</v>
      </c>
      <c r="D21" s="5">
        <f>pa_a0</f>
        <v>1</v>
      </c>
      <c r="E21" s="32">
        <f t="shared" si="0"/>
        <v>0</v>
      </c>
      <c r="F21" s="44"/>
      <c r="G21" s="53" t="s">
        <v>728</v>
      </c>
      <c r="H21" s="16">
        <f>pa_a^(1-sigmam_a)-ad_a*pd_a^(1-sigmam_a)-am_a*pm_a^(1-sigmam_a)</f>
        <v>1.1102230246251565E-16</v>
      </c>
      <c r="J21" s="53" t="s">
        <v>785</v>
      </c>
      <c r="K21" s="13">
        <f>scale*SAM!K17/(pa_a0*xai_a0+pa_o0*xai_o0)</f>
        <v>0</v>
      </c>
      <c r="L21" s="13">
        <f>iti_a0</f>
        <v>0</v>
      </c>
      <c r="M21" s="55" t="str">
        <f t="shared" si="1"/>
        <v/>
      </c>
      <c r="O21" s="5">
        <f>pa_a0</f>
        <v>1</v>
      </c>
      <c r="P21" s="13">
        <f>iti_a0</f>
        <v>0</v>
      </c>
    </row>
    <row r="22" spans="1:16">
      <c r="A22" s="2">
        <f t="shared" si="2"/>
        <v>19</v>
      </c>
      <c r="B22" s="40" t="s">
        <v>55</v>
      </c>
      <c r="C22" s="9">
        <v>1</v>
      </c>
      <c r="D22" s="5">
        <f>pa_o0</f>
        <v>1</v>
      </c>
      <c r="E22" s="32">
        <f t="shared" si="0"/>
        <v>0</v>
      </c>
      <c r="F22" s="44"/>
      <c r="G22" s="53" t="s">
        <v>128</v>
      </c>
      <c r="H22" s="16">
        <f>pa_o^(1-sigmam_o)-ad_o*pd_o^(1-sigmam_o)-am_o*pm_o^(1-sigmam_o)</f>
        <v>0</v>
      </c>
      <c r="J22" s="53" t="s">
        <v>103</v>
      </c>
      <c r="K22" s="13">
        <f>(scale*SAM!K17-iti_a0*pa_a0*xai_a0)/(pa_o0*xai_o0)</f>
        <v>0</v>
      </c>
      <c r="L22" s="13">
        <f>iti_o0</f>
        <v>0</v>
      </c>
      <c r="M22" s="55" t="str">
        <f t="shared" si="1"/>
        <v/>
      </c>
      <c r="O22" s="5">
        <f>pa_o0</f>
        <v>1</v>
      </c>
      <c r="P22" s="13">
        <f>iti_o0</f>
        <v>0</v>
      </c>
    </row>
    <row r="23" spans="1:16">
      <c r="A23" s="2">
        <f t="shared" si="2"/>
        <v>20</v>
      </c>
      <c r="B23" s="40" t="s">
        <v>729</v>
      </c>
      <c r="C23" s="9">
        <v>1</v>
      </c>
      <c r="D23" s="5">
        <f>pp_a0</f>
        <v>1</v>
      </c>
      <c r="E23" s="32">
        <f t="shared" si="0"/>
        <v>0</v>
      </c>
      <c r="F23" s="44"/>
      <c r="G23" s="53" t="s">
        <v>730</v>
      </c>
      <c r="H23" s="16">
        <f>pp_a-px_a*(1+tp_a)</f>
        <v>0</v>
      </c>
      <c r="J23" s="53" t="s">
        <v>111</v>
      </c>
      <c r="K23" s="9">
        <v>1</v>
      </c>
      <c r="L23" s="5">
        <f>er0*1</f>
        <v>1</v>
      </c>
      <c r="M23" s="55">
        <f t="shared" si="1"/>
        <v>0</v>
      </c>
      <c r="O23" s="5">
        <f>pp_a0</f>
        <v>1</v>
      </c>
      <c r="P23" s="5">
        <f>er0*1</f>
        <v>1</v>
      </c>
    </row>
    <row r="24" spans="1:16">
      <c r="A24" s="2">
        <f t="shared" si="2"/>
        <v>21</v>
      </c>
      <c r="B24" s="40" t="s">
        <v>59</v>
      </c>
      <c r="C24" s="9">
        <v>1</v>
      </c>
      <c r="D24" s="5">
        <f>pp_o0</f>
        <v>1</v>
      </c>
      <c r="E24" s="32">
        <f t="shared" si="0"/>
        <v>0</v>
      </c>
      <c r="F24" s="44"/>
      <c r="G24" s="53" t="s">
        <v>61</v>
      </c>
      <c r="H24" s="16">
        <f>pp_o-px_o*(1+tp_o)</f>
        <v>0</v>
      </c>
      <c r="J24" s="53" t="s">
        <v>786</v>
      </c>
      <c r="K24" s="9">
        <v>1</v>
      </c>
      <c r="L24" s="5">
        <f>wpebar_a0</f>
        <v>1</v>
      </c>
      <c r="M24" s="55">
        <f t="shared" si="1"/>
        <v>0</v>
      </c>
      <c r="O24" s="5">
        <f>pp_o0</f>
        <v>1</v>
      </c>
      <c r="P24" s="5">
        <f>wpebar_a0</f>
        <v>1</v>
      </c>
    </row>
    <row r="25" spans="1:16">
      <c r="A25" s="2">
        <f t="shared" si="2"/>
        <v>22</v>
      </c>
      <c r="B25" s="40" t="s">
        <v>732</v>
      </c>
      <c r="C25" s="5">
        <f>(pp_a0*xp_a0-scale*SAM!B18)/xp_a0</f>
        <v>0.99848692795857308</v>
      </c>
      <c r="D25" s="5">
        <f>px_a0</f>
        <v>0.99848692795857308</v>
      </c>
      <c r="E25" s="32">
        <f t="shared" si="0"/>
        <v>0</v>
      </c>
      <c r="F25" s="44"/>
      <c r="G25" s="53" t="s">
        <v>731</v>
      </c>
      <c r="H25" s="16">
        <f>px_a^(1-sigmap_a)-(and_a*pnd_a^(1-sigmap_a)+ava_a*pva_a^(1-sigmap_a))</f>
        <v>0</v>
      </c>
      <c r="J25" s="53" t="s">
        <v>109</v>
      </c>
      <c r="K25" s="9">
        <v>1</v>
      </c>
      <c r="L25" s="5">
        <f>wpebar_o0</f>
        <v>1</v>
      </c>
      <c r="M25" s="55">
        <f t="shared" si="1"/>
        <v>0</v>
      </c>
      <c r="O25" s="5">
        <f>px_a0</f>
        <v>0.99848692795857308</v>
      </c>
      <c r="P25" s="5">
        <f>wpebar_o0</f>
        <v>1</v>
      </c>
    </row>
    <row r="26" spans="1:16">
      <c r="A26" s="2">
        <f t="shared" si="2"/>
        <v>23</v>
      </c>
      <c r="B26" s="40" t="s">
        <v>60</v>
      </c>
      <c r="C26" s="5">
        <f>(pp_o0*xp_o0-scale*SAM!C18)/xp_o0</f>
        <v>0.95862780436224748</v>
      </c>
      <c r="D26" s="5">
        <f>px_o0</f>
        <v>0.95862780436224748</v>
      </c>
      <c r="E26" s="32">
        <f t="shared" si="0"/>
        <v>0</v>
      </c>
      <c r="F26" s="44"/>
      <c r="G26" s="53" t="s">
        <v>62</v>
      </c>
      <c r="H26" s="16">
        <f>px_o^(1-sigmap_o)-(and_o*pnd_o^(1-sigmap_o)+ava_o*pva_o^(1-sigmap_o))</f>
        <v>0</v>
      </c>
      <c r="J26" s="53" t="s">
        <v>755</v>
      </c>
      <c r="K26" s="9">
        <v>1</v>
      </c>
      <c r="L26" s="5">
        <f>wpm_a0</f>
        <v>1</v>
      </c>
      <c r="M26" s="55">
        <f t="shared" si="1"/>
        <v>0</v>
      </c>
      <c r="O26" s="5">
        <f>px_o0</f>
        <v>0.95862780436224748</v>
      </c>
      <c r="P26" s="5">
        <f>wpm_a0</f>
        <v>1</v>
      </c>
    </row>
    <row r="27" spans="1:16">
      <c r="A27" s="2">
        <f t="shared" si="2"/>
        <v>24</v>
      </c>
      <c r="B27" s="40" t="s">
        <v>733</v>
      </c>
      <c r="C27" s="4">
        <f>(wage0*ld_a0+rent_a0*kd_a0+pf_a0*fd_a0)/pva_a0</f>
        <v>11455.823470845002</v>
      </c>
      <c r="D27" s="4">
        <f>va_a0</f>
        <v>11455.823470845002</v>
      </c>
      <c r="E27" s="32">
        <f t="shared" si="0"/>
        <v>0</v>
      </c>
      <c r="F27" s="44"/>
      <c r="G27" s="53" t="s">
        <v>734</v>
      </c>
      <c r="H27" s="16">
        <f>va_a*pva_a^sigmap_a-ava_a*xp_a*px_a^sigmap_a</f>
        <v>0</v>
      </c>
      <c r="J27" s="53" t="s">
        <v>110</v>
      </c>
      <c r="K27" s="9">
        <v>1</v>
      </c>
      <c r="L27" s="5">
        <f>wpm_o0</f>
        <v>1</v>
      </c>
      <c r="M27" s="55">
        <f t="shared" si="1"/>
        <v>0</v>
      </c>
      <c r="O27" s="4">
        <f>va_a0</f>
        <v>11455.823470845002</v>
      </c>
      <c r="P27" s="5">
        <f>wpm_o0</f>
        <v>1</v>
      </c>
    </row>
    <row r="28" spans="1:16">
      <c r="A28" s="2">
        <f t="shared" si="2"/>
        <v>25</v>
      </c>
      <c r="B28" s="40" t="s">
        <v>679</v>
      </c>
      <c r="C28" s="4">
        <f>(wage0*ld_o0+rent_o0*kd_o0+pf_o0*fd_o0)/pva_o0</f>
        <v>87446.870116069986</v>
      </c>
      <c r="D28" s="4">
        <f>va_o0</f>
        <v>87446.870116069986</v>
      </c>
      <c r="E28" s="32">
        <f t="shared" si="0"/>
        <v>0</v>
      </c>
      <c r="F28" s="44"/>
      <c r="G28" s="53" t="s">
        <v>685</v>
      </c>
      <c r="H28" s="16">
        <f>va_o*pva_o^sigmap_o-ava_o*xp_o*px_o^sigmap_o</f>
        <v>0</v>
      </c>
      <c r="J28" s="53" t="s">
        <v>787</v>
      </c>
      <c r="K28" s="13">
        <f>SAM!B20/SAM!B22</f>
        <v>0.13297203924116927</v>
      </c>
      <c r="L28" s="13">
        <f>tm_a0</f>
        <v>0.13297203924116927</v>
      </c>
      <c r="M28" s="55">
        <f t="shared" si="1"/>
        <v>0</v>
      </c>
      <c r="O28" s="4">
        <f>va_o0</f>
        <v>87446.870116069986</v>
      </c>
      <c r="P28" s="13">
        <f>tm_a0</f>
        <v>0.13297203924116927</v>
      </c>
    </row>
    <row r="29" spans="1:16">
      <c r="A29" s="2">
        <f t="shared" si="2"/>
        <v>26</v>
      </c>
      <c r="B29" s="40" t="s">
        <v>735</v>
      </c>
      <c r="C29" s="9">
        <v>1</v>
      </c>
      <c r="D29" s="5">
        <f>pva_a0</f>
        <v>1</v>
      </c>
      <c r="E29" s="32">
        <f t="shared" si="0"/>
        <v>0</v>
      </c>
      <c r="F29" s="44"/>
      <c r="G29" s="53" t="s">
        <v>736</v>
      </c>
      <c r="H29" s="16">
        <f>pva_a^(1-sigmav_a)-(al_a*(wage/lambdal_a)^(1-sigmav_a)+akf_a*pkf_a^(1-sigmav_a))</f>
        <v>0</v>
      </c>
      <c r="I29" s="45"/>
      <c r="J29" s="53" t="s">
        <v>114</v>
      </c>
      <c r="K29" s="13">
        <f>SAM!C20/SAM!C22</f>
        <v>8.762121905685534E-2</v>
      </c>
      <c r="L29" s="13">
        <f>tm_o0*1</f>
        <v>8.762121905685534E-2</v>
      </c>
      <c r="M29" s="55">
        <f t="shared" si="1"/>
        <v>0</v>
      </c>
      <c r="O29" s="5">
        <f>pva_a0</f>
        <v>1</v>
      </c>
      <c r="P29" s="13">
        <f>tm_o0*1</f>
        <v>8.762121905685534E-2</v>
      </c>
    </row>
    <row r="30" spans="1:16">
      <c r="A30" s="2">
        <f t="shared" si="2"/>
        <v>27</v>
      </c>
      <c r="B30" s="40" t="s">
        <v>680</v>
      </c>
      <c r="C30" s="9">
        <v>1</v>
      </c>
      <c r="D30" s="5">
        <f>pva_o0</f>
        <v>1</v>
      </c>
      <c r="E30" s="32">
        <f t="shared" si="0"/>
        <v>0</v>
      </c>
      <c r="F30" s="44"/>
      <c r="G30" s="53" t="s">
        <v>686</v>
      </c>
      <c r="H30" s="16">
        <f>pva_o^(1-sigmav_o)-(al_o*(wage/lambdal_o)^(1-sigmav_o)+akf_o*pkf_o^(1-sigmav_o))</f>
        <v>0</v>
      </c>
      <c r="J30" s="53" t="s">
        <v>788</v>
      </c>
      <c r="K30" s="13">
        <f>SAM!B21/((SAM!M7+SAM!Q7)-SAM!B21)</f>
        <v>0</v>
      </c>
      <c r="L30" s="13">
        <f>te_a0</f>
        <v>0</v>
      </c>
      <c r="M30" s="55" t="str">
        <f t="shared" si="1"/>
        <v/>
      </c>
      <c r="O30" s="5">
        <f>pva_o0</f>
        <v>1</v>
      </c>
      <c r="P30" s="13">
        <f>te_a0</f>
        <v>0</v>
      </c>
    </row>
    <row r="31" spans="1:16">
      <c r="A31" s="2">
        <f t="shared" si="2"/>
        <v>28</v>
      </c>
      <c r="B31" s="40" t="s">
        <v>737</v>
      </c>
      <c r="C31" s="4">
        <f>(rent_a0*kd_a0+pf_a0*fd_a0)/pkf_a0</f>
        <v>7149.547056200001</v>
      </c>
      <c r="D31" s="4">
        <f>kf_a0</f>
        <v>7149.547056200001</v>
      </c>
      <c r="E31" s="32">
        <f t="shared" si="0"/>
        <v>0</v>
      </c>
      <c r="F31" s="44"/>
      <c r="G31" s="53" t="s">
        <v>738</v>
      </c>
      <c r="H31" s="16">
        <f>kf_a*pkf_a^sigmav_a-akf_a*va_a*pva_a^sigmav_a</f>
        <v>0</v>
      </c>
      <c r="J31" s="53" t="s">
        <v>138</v>
      </c>
      <c r="K31" s="13">
        <f>SAM!C21/((SAM!M8+SAM!Q8)-SAM!C21)</f>
        <v>3.3356564999056622E-3</v>
      </c>
      <c r="L31" s="13">
        <f>te_o0</f>
        <v>3.3356564999056622E-3</v>
      </c>
      <c r="M31" s="55">
        <f t="shared" si="1"/>
        <v>0</v>
      </c>
      <c r="O31" s="4">
        <f>kf_a0</f>
        <v>7149.547056200001</v>
      </c>
      <c r="P31" s="13">
        <f>te_o0</f>
        <v>3.3356564999056622E-3</v>
      </c>
    </row>
    <row r="32" spans="1:16" ht="13" thickBot="1">
      <c r="A32" s="2">
        <f t="shared" si="2"/>
        <v>29</v>
      </c>
      <c r="B32" s="40" t="s">
        <v>681</v>
      </c>
      <c r="C32" s="4">
        <f>(rent_o0*kd_o0+pf_o0*fd_o0)/pkf_o0</f>
        <v>60961.087539599997</v>
      </c>
      <c r="D32" s="4">
        <f>kf_o0</f>
        <v>60961.087539599997</v>
      </c>
      <c r="E32" s="32">
        <f t="shared" si="0"/>
        <v>0</v>
      </c>
      <c r="F32" s="44"/>
      <c r="G32" s="53" t="s">
        <v>687</v>
      </c>
      <c r="H32" s="16">
        <f>kf_o*pkf_o^sigmav_o-akf_o*va_o*pva_o^sigmav_o</f>
        <v>0</v>
      </c>
      <c r="J32" s="54" t="s">
        <v>150</v>
      </c>
      <c r="K32" s="15">
        <f>scale*(SAM!Q14-SAM!I22)/er0</f>
        <v>-17672.162479999999</v>
      </c>
      <c r="L32" s="15">
        <f>savf0*1</f>
        <v>-17672.162479999999</v>
      </c>
      <c r="M32" s="56">
        <f t="shared" si="1"/>
        <v>0</v>
      </c>
      <c r="O32" s="4">
        <f>kf_o0</f>
        <v>60961.087539599997</v>
      </c>
      <c r="P32" s="15">
        <f>savf0*1</f>
        <v>-17672.162479999999</v>
      </c>
    </row>
    <row r="33" spans="1:16">
      <c r="A33" s="2">
        <f t="shared" si="2"/>
        <v>30</v>
      </c>
      <c r="B33" s="40" t="s">
        <v>739</v>
      </c>
      <c r="C33" s="9">
        <v>1</v>
      </c>
      <c r="D33" s="5">
        <f>pkf_a0</f>
        <v>1</v>
      </c>
      <c r="E33" s="32">
        <f t="shared" si="0"/>
        <v>0</v>
      </c>
      <c r="F33" s="44"/>
      <c r="G33" s="53" t="s">
        <v>740</v>
      </c>
      <c r="H33" s="16">
        <f>pkf_a^(1-sigmak_a)-(ak_a*(rent_a/lambdak_a)^(1-sigmak_a)+af_a*(pf_a/lambdaf_a)^(1-sigmak_a))</f>
        <v>0</v>
      </c>
      <c r="J33" s="44"/>
      <c r="K33" s="44"/>
      <c r="L33" s="44"/>
      <c r="M33" s="44"/>
      <c r="O33" s="5">
        <f>pkf_a0</f>
        <v>1</v>
      </c>
      <c r="P33" s="44"/>
    </row>
    <row r="34" spans="1:16">
      <c r="A34" s="2">
        <f t="shared" si="2"/>
        <v>31</v>
      </c>
      <c r="B34" s="40" t="s">
        <v>682</v>
      </c>
      <c r="C34" s="9">
        <v>1</v>
      </c>
      <c r="D34" s="5">
        <f>pkf_o0</f>
        <v>1</v>
      </c>
      <c r="E34" s="32">
        <f t="shared" si="0"/>
        <v>0</v>
      </c>
      <c r="F34" s="44"/>
      <c r="G34" s="53" t="s">
        <v>688</v>
      </c>
      <c r="H34" s="16">
        <f>pkf_o^(1-sigmak_o)-(ak_o*(rent_o/lambdak_o)^(1-sigmak_o)+af_o*(pf_o/lambdaf_o)^(1-sigmak_o))</f>
        <v>0</v>
      </c>
      <c r="J34" s="44"/>
      <c r="K34" s="45"/>
      <c r="L34" s="45"/>
      <c r="M34" s="44"/>
      <c r="O34" s="5">
        <f>pkf_o0</f>
        <v>1</v>
      </c>
      <c r="P34" s="44"/>
    </row>
    <row r="35" spans="1:16">
      <c r="A35" s="2">
        <f t="shared" si="2"/>
        <v>32</v>
      </c>
      <c r="B35" s="40" t="s">
        <v>741</v>
      </c>
      <c r="C35" s="9">
        <v>1</v>
      </c>
      <c r="D35" s="5">
        <f>pnd_a0</f>
        <v>1</v>
      </c>
      <c r="E35" s="32">
        <f t="shared" si="0"/>
        <v>0</v>
      </c>
      <c r="F35" s="44"/>
      <c r="G35" s="53" t="s">
        <v>742</v>
      </c>
      <c r="H35" s="16">
        <f>pnd_a-(a_aa*pa_a*(1+itp_aa)+a_oa*pa_o*(1+itp_oa))</f>
        <v>0</v>
      </c>
      <c r="J35" s="44"/>
      <c r="K35" s="45"/>
      <c r="L35" s="45"/>
      <c r="M35" s="44"/>
      <c r="O35" s="5">
        <f>pnd_a0</f>
        <v>1</v>
      </c>
      <c r="P35" s="44"/>
    </row>
    <row r="36" spans="1:16">
      <c r="A36" s="2">
        <f t="shared" si="2"/>
        <v>33</v>
      </c>
      <c r="B36" s="40" t="s">
        <v>683</v>
      </c>
      <c r="C36" s="9">
        <v>1</v>
      </c>
      <c r="D36" s="5">
        <f>pnd_o0</f>
        <v>1</v>
      </c>
      <c r="E36" s="32">
        <f t="shared" si="0"/>
        <v>0</v>
      </c>
      <c r="F36" s="44"/>
      <c r="G36" s="53" t="s">
        <v>689</v>
      </c>
      <c r="H36" s="16">
        <f>pnd_o-(a_ao*pa_a*(1+itp_ao)+a_oo*pa_o*(1+itp_oo))</f>
        <v>0</v>
      </c>
      <c r="J36" s="44"/>
      <c r="K36" s="45"/>
      <c r="L36" s="45"/>
      <c r="M36" s="44"/>
      <c r="O36" s="5">
        <f>pnd_o0</f>
        <v>1</v>
      </c>
      <c r="P36" s="44"/>
    </row>
    <row r="37" spans="1:16">
      <c r="A37" s="2">
        <f t="shared" si="2"/>
        <v>34</v>
      </c>
      <c r="B37" s="40" t="s">
        <v>743</v>
      </c>
      <c r="C37" s="4">
        <f>((1+itp_aa0)*pa_a0*xap_aa0+(1+itp_oa0)*pa_o0*xap_oa0)/pnd_a0</f>
        <v>5374.9136063714568</v>
      </c>
      <c r="D37" s="4">
        <f>nd_a0</f>
        <v>5374.9136063714568</v>
      </c>
      <c r="E37" s="32">
        <f t="shared" si="0"/>
        <v>0</v>
      </c>
      <c r="F37" s="44"/>
      <c r="G37" s="53" t="s">
        <v>744</v>
      </c>
      <c r="H37" s="16">
        <f>nd_a*pnd_a^sigmap_a-and_a*xp_a*px_a^sigmap_a</f>
        <v>0</v>
      </c>
      <c r="J37" s="44"/>
      <c r="K37" s="45"/>
      <c r="L37" s="45"/>
      <c r="M37" s="44"/>
      <c r="O37" s="4">
        <f>nd_a0</f>
        <v>5374.9136063714568</v>
      </c>
      <c r="P37" s="44"/>
    </row>
    <row r="38" spans="1:16">
      <c r="A38" s="2">
        <f t="shared" si="2"/>
        <v>35</v>
      </c>
      <c r="B38" s="40" t="s">
        <v>684</v>
      </c>
      <c r="C38" s="4">
        <f>((1+itp_ao0)*pa_a0*xap_ao0+(1+itp_oo0)*pa_o0*xap_oo0)/pnd_o0</f>
        <v>140437.55877466002</v>
      </c>
      <c r="D38" s="4">
        <f>nd_o0</f>
        <v>140437.55877466002</v>
      </c>
      <c r="E38" s="32">
        <f t="shared" si="0"/>
        <v>0</v>
      </c>
      <c r="F38" s="44"/>
      <c r="G38" s="53" t="s">
        <v>690</v>
      </c>
      <c r="H38" s="16">
        <f>nd_o*pnd_o^sigmap_o-and_o*xp_o*px_o^sigmap_o</f>
        <v>0</v>
      </c>
      <c r="J38" s="44"/>
      <c r="K38" s="44"/>
      <c r="L38" s="44"/>
      <c r="M38" s="44"/>
      <c r="O38" s="4">
        <f>nd_o0</f>
        <v>140437.55877466002</v>
      </c>
      <c r="P38" s="44"/>
    </row>
    <row r="39" spans="1:16">
      <c r="A39" s="2">
        <f t="shared" si="2"/>
        <v>36</v>
      </c>
      <c r="B39" s="40" t="s">
        <v>73</v>
      </c>
      <c r="C39" s="4">
        <f>wage0*(ld_a0+ld_o0)+rent_a0*kd_a0+rent_o0*kd_o0+pf_a0*fd_a0+pf_o0*fd_o0+gtrh0</f>
        <v>98902.693586914989</v>
      </c>
      <c r="D39" s="4">
        <f>yh0</f>
        <v>98902.693586914989</v>
      </c>
      <c r="E39" s="32">
        <f t="shared" si="0"/>
        <v>0</v>
      </c>
      <c r="F39" s="44"/>
      <c r="G39" s="53" t="s">
        <v>789</v>
      </c>
      <c r="H39" s="16">
        <f>yh-wage*(ld_a+ld_o)-rent_a*kd_a-rent_o*kd_o-pf_a*fd_a-pf_o*fd_o-gtrh*pindex</f>
        <v>-1.1624479157035239E-11</v>
      </c>
      <c r="J39" s="44"/>
      <c r="K39" s="45"/>
      <c r="L39" s="44"/>
      <c r="M39" s="44"/>
      <c r="O39" s="4">
        <f>yh0</f>
        <v>98902.693586914989</v>
      </c>
      <c r="P39" s="44"/>
    </row>
    <row r="40" spans="1:16">
      <c r="A40" s="2">
        <f t="shared" si="2"/>
        <v>37</v>
      </c>
      <c r="B40" s="40" t="s">
        <v>74</v>
      </c>
      <c r="C40" s="4">
        <f>scale*(SAM!G7+SAM!G8+SAM!G14+SAM!G17)</f>
        <v>87832.668599345998</v>
      </c>
      <c r="D40" s="4">
        <f>yd0</f>
        <v>87832.668599345998</v>
      </c>
      <c r="E40" s="32">
        <f t="shared" si="0"/>
        <v>0</v>
      </c>
      <c r="F40" s="44"/>
      <c r="G40" s="53" t="s">
        <v>87</v>
      </c>
      <c r="H40" s="16">
        <f>yd-(1-kappa)*yh+deprY</f>
        <v>2.0118022803217173E-9</v>
      </c>
      <c r="J40" s="44"/>
      <c r="K40" s="45"/>
      <c r="L40" s="44"/>
      <c r="M40" s="44"/>
      <c r="O40" s="4">
        <f>yd0</f>
        <v>87832.668599345998</v>
      </c>
      <c r="P40" s="44"/>
    </row>
    <row r="41" spans="1:16">
      <c r="A41" s="2">
        <f t="shared" si="2"/>
        <v>38</v>
      </c>
      <c r="B41" s="40" t="s">
        <v>75</v>
      </c>
      <c r="C41" s="4">
        <f>scale*SAM!G14</f>
        <v>25457.1895</v>
      </c>
      <c r="D41" s="4">
        <f>savh0</f>
        <v>25457.1895</v>
      </c>
      <c r="E41" s="32">
        <f t="shared" si="0"/>
        <v>0</v>
      </c>
      <c r="F41" s="44"/>
      <c r="G41" s="53" t="s">
        <v>86</v>
      </c>
      <c r="H41" s="16">
        <f>savh-(yd-(1+itc_a)*pa_a*xac_a-(1+itc_o)*pa_o*xac_o)</f>
        <v>0</v>
      </c>
      <c r="J41" s="44"/>
      <c r="K41" s="45"/>
      <c r="L41" s="44"/>
      <c r="M41" s="44"/>
      <c r="O41" s="4">
        <f>savh0</f>
        <v>25457.1895</v>
      </c>
      <c r="P41" s="44"/>
    </row>
    <row r="42" spans="1:16">
      <c r="A42" s="2">
        <f t="shared" si="2"/>
        <v>39</v>
      </c>
      <c r="B42" s="40" t="s">
        <v>745</v>
      </c>
      <c r="C42" s="4">
        <f>scale*SAM!G7/pa_a0</f>
        <v>3080.1355777749995</v>
      </c>
      <c r="D42" s="4">
        <f>xac_a0</f>
        <v>3080.1355777749995</v>
      </c>
      <c r="E42" s="32">
        <f t="shared" si="0"/>
        <v>0</v>
      </c>
      <c r="F42" s="44"/>
      <c r="G42" s="53" t="s">
        <v>746</v>
      </c>
      <c r="H42" s="16">
        <f>xac_a*(1+itc_a)*pa_a-theta_a*(1+itc_a)*pa_a-mu_a*ystar</f>
        <v>0</v>
      </c>
      <c r="J42" s="44"/>
      <c r="K42" s="44"/>
      <c r="L42" s="44"/>
      <c r="M42" s="44"/>
      <c r="O42" s="4">
        <f>xac_a0</f>
        <v>3080.1355777749995</v>
      </c>
      <c r="P42" s="44"/>
    </row>
    <row r="43" spans="1:16">
      <c r="A43" s="2">
        <f t="shared" si="2"/>
        <v>40</v>
      </c>
      <c r="B43" s="40" t="s">
        <v>76</v>
      </c>
      <c r="C43" s="4">
        <f>scale*SAM!G8/pa_o0</f>
        <v>59313.267364675005</v>
      </c>
      <c r="D43" s="4">
        <f>xac_o0</f>
        <v>59313.267364675005</v>
      </c>
      <c r="E43" s="32">
        <f t="shared" si="0"/>
        <v>0</v>
      </c>
      <c r="F43" s="44"/>
      <c r="G43" s="53" t="s">
        <v>83</v>
      </c>
      <c r="H43" s="16">
        <f>xac_o*(1+itc_o)*pa_o-theta_o*(1+itc_o)*pa_o-mu_o*ystar</f>
        <v>0</v>
      </c>
      <c r="J43" s="44"/>
      <c r="K43" s="45"/>
      <c r="L43" s="44"/>
      <c r="M43" s="44"/>
      <c r="O43" s="4">
        <f>xac_o0</f>
        <v>59313.267364675005</v>
      </c>
      <c r="P43" s="44"/>
    </row>
    <row r="44" spans="1:16">
      <c r="A44" s="2">
        <f t="shared" si="2"/>
        <v>41</v>
      </c>
      <c r="B44" s="40" t="s">
        <v>84</v>
      </c>
      <c r="C44" s="4">
        <f>yd0-(1+itc_a0)*pa_a0*theta_a-(1+itc_o0)*pa_o0*theta_o</f>
        <v>83394.297314957352</v>
      </c>
      <c r="D44" s="4">
        <f>ystar0</f>
        <v>83394.297314957352</v>
      </c>
      <c r="E44" s="32">
        <f t="shared" si="0"/>
        <v>0</v>
      </c>
      <c r="F44" s="44"/>
      <c r="G44" s="53" t="s">
        <v>85</v>
      </c>
      <c r="H44" s="16">
        <f>ystar-yd+(1+itc_a)*pa_a*theta_a+(1+itc_o)*pa_o*theta_o</f>
        <v>0</v>
      </c>
      <c r="J44" s="44"/>
      <c r="K44" s="45"/>
      <c r="L44" s="44"/>
      <c r="M44" s="44"/>
      <c r="O44" s="4">
        <f>ystar0</f>
        <v>83394.297314957352</v>
      </c>
      <c r="P44" s="44"/>
    </row>
    <row r="45" spans="1:16">
      <c r="A45" s="2">
        <f t="shared" si="2"/>
        <v>42</v>
      </c>
      <c r="B45" s="40" t="s">
        <v>89</v>
      </c>
      <c r="C45" s="4">
        <f>scale*SAM!J14</f>
        <v>15290.1963</v>
      </c>
      <c r="D45" s="4">
        <f>deprY0</f>
        <v>15290.1963</v>
      </c>
      <c r="E45" s="32">
        <f t="shared" si="0"/>
        <v>0</v>
      </c>
      <c r="F45" s="44"/>
      <c r="G45" s="53" t="s">
        <v>151</v>
      </c>
      <c r="H45" s="16">
        <f>deprY-pindex*deprY0</f>
        <v>0</v>
      </c>
      <c r="J45" s="44"/>
      <c r="K45" s="45"/>
      <c r="L45" s="44"/>
      <c r="M45" s="44"/>
      <c r="O45" s="4">
        <f>deprY0</f>
        <v>15290.1963</v>
      </c>
      <c r="P45" s="44"/>
    </row>
    <row r="46" spans="1:16">
      <c r="A46" s="2">
        <f t="shared" si="2"/>
        <v>43</v>
      </c>
      <c r="B46" s="40" t="s">
        <v>97</v>
      </c>
      <c r="C46" s="4">
        <f>(pa_a0*(1+itg_a0)*xag_a0+pa_o0*(1+itg_o0)*xag_o0)/pg0</f>
        <v>11558.308319182008</v>
      </c>
      <c r="D46" s="4">
        <f>xg0</f>
        <v>11558.308319182008</v>
      </c>
      <c r="E46" s="32">
        <f t="shared" si="0"/>
        <v>0</v>
      </c>
      <c r="F46" s="44"/>
      <c r="G46" s="53" t="s">
        <v>104</v>
      </c>
      <c r="H46" s="16">
        <f>xg-xg0</f>
        <v>0</v>
      </c>
      <c r="J46" s="44"/>
      <c r="K46" s="44"/>
      <c r="L46" s="44"/>
      <c r="M46" s="44"/>
      <c r="O46" s="4">
        <f>xg0</f>
        <v>11558.308319182008</v>
      </c>
      <c r="P46" s="44"/>
    </row>
    <row r="47" spans="1:16">
      <c r="A47" s="2">
        <f t="shared" si="2"/>
        <v>44</v>
      </c>
      <c r="B47" s="40" t="s">
        <v>98</v>
      </c>
      <c r="C47" s="9">
        <v>1</v>
      </c>
      <c r="D47" s="6">
        <f>pg0</f>
        <v>1</v>
      </c>
      <c r="E47" s="32">
        <f t="shared" si="0"/>
        <v>0</v>
      </c>
      <c r="F47" s="44"/>
      <c r="G47" s="53" t="s">
        <v>105</v>
      </c>
      <c r="H47" s="16">
        <f>pg^(1-sigmag)-ag_a*((1+itg_a)*pa_a)^(1-sigmag)-ag_o*((1+itg_o)*pa_o)^(1-sigmag)</f>
        <v>0</v>
      </c>
      <c r="J47" s="44"/>
      <c r="K47" s="45"/>
      <c r="L47" s="44"/>
      <c r="M47" s="44"/>
      <c r="O47" s="6">
        <f>pg0</f>
        <v>1</v>
      </c>
      <c r="P47" s="44"/>
    </row>
    <row r="48" spans="1:16">
      <c r="A48" s="2">
        <f t="shared" si="2"/>
        <v>45</v>
      </c>
      <c r="B48" s="40" t="s">
        <v>747</v>
      </c>
      <c r="C48" s="4">
        <f>scale*SAM!H7/pa_a0</f>
        <v>6.2288700000000014E-4</v>
      </c>
      <c r="D48" s="4">
        <f>xag_a0</f>
        <v>6.2288700000000014E-4</v>
      </c>
      <c r="E48" s="32">
        <f t="shared" si="0"/>
        <v>0</v>
      </c>
      <c r="F48" s="44"/>
      <c r="G48" s="53" t="s">
        <v>748</v>
      </c>
      <c r="H48" s="16">
        <f>xag_a*((1+itg_a)*pa_a)^sigmag-ag_a*xg*pg^sigmag</f>
        <v>0</v>
      </c>
      <c r="J48" s="44"/>
      <c r="K48" s="44"/>
      <c r="L48" s="44"/>
      <c r="M48" s="44"/>
      <c r="O48" s="4">
        <f>xag_a0</f>
        <v>6.2288700000000014E-4</v>
      </c>
      <c r="P48" s="44"/>
    </row>
    <row r="49" spans="1:16">
      <c r="A49" s="2">
        <f t="shared" si="2"/>
        <v>46</v>
      </c>
      <c r="B49" s="40" t="s">
        <v>93</v>
      </c>
      <c r="C49" s="4">
        <f>scale*SAM!H8/pa_o0</f>
        <v>11558.307696295007</v>
      </c>
      <c r="D49" s="4">
        <f>xag_o0</f>
        <v>11558.307696295007</v>
      </c>
      <c r="E49" s="32">
        <f t="shared" si="0"/>
        <v>1.4210854715202004E-14</v>
      </c>
      <c r="F49" s="44"/>
      <c r="G49" s="53" t="s">
        <v>95</v>
      </c>
      <c r="H49" s="16">
        <f>xag_o*((1+itg_o)*pa_o)^sigmag-ag_o*xg*pg^sigmag</f>
        <v>0</v>
      </c>
      <c r="J49" s="44"/>
      <c r="K49" s="44"/>
      <c r="L49" s="44"/>
      <c r="M49" s="44"/>
      <c r="O49" s="4">
        <f>xag_o0</f>
        <v>11558.307696295007</v>
      </c>
      <c r="P49" s="44"/>
    </row>
    <row r="50" spans="1:16">
      <c r="A50" s="2">
        <f t="shared" si="2"/>
        <v>47</v>
      </c>
      <c r="B50" s="40" t="s">
        <v>101</v>
      </c>
      <c r="C50" s="4">
        <f>((1+iti_a0)*pa_a0*xai_a0+(1+iti_o0)*pa_o0*xai_o0)/pi0</f>
        <v>23075.120865360004</v>
      </c>
      <c r="D50" s="4">
        <f>xi0</f>
        <v>23075.120865360004</v>
      </c>
      <c r="E50" s="32">
        <f t="shared" si="0"/>
        <v>0</v>
      </c>
      <c r="F50" s="44"/>
      <c r="G50" s="53" t="s">
        <v>106</v>
      </c>
      <c r="H50" s="16">
        <f>pi*xi-(savh+savg+er*savf+deprY)</f>
        <v>-1.8875204958021641E-2</v>
      </c>
      <c r="J50" s="44"/>
      <c r="K50" s="44"/>
      <c r="L50" s="44"/>
      <c r="M50" s="44"/>
      <c r="O50" s="4">
        <f>xi0</f>
        <v>23075.120865360004</v>
      </c>
      <c r="P50" s="44"/>
    </row>
    <row r="51" spans="1:16">
      <c r="A51" s="2">
        <f t="shared" si="2"/>
        <v>48</v>
      </c>
      <c r="B51" s="40" t="s">
        <v>102</v>
      </c>
      <c r="C51" s="9">
        <v>1</v>
      </c>
      <c r="D51" s="6">
        <f>pi0</f>
        <v>1</v>
      </c>
      <c r="E51" s="32">
        <f t="shared" si="0"/>
        <v>0</v>
      </c>
      <c r="F51" s="44"/>
      <c r="G51" s="53" t="s">
        <v>107</v>
      </c>
      <c r="H51" s="16">
        <f>pi^(1-sigmai)-ai_a*((1+iti_a)*pa_a)^(1-sigmai)-ai_o*((1+iti_o)*pa_o)^(1-sigmai)</f>
        <v>0</v>
      </c>
      <c r="J51" s="44"/>
      <c r="K51" s="44"/>
      <c r="L51" s="44"/>
      <c r="M51" s="44"/>
      <c r="O51" s="6">
        <f>pi0</f>
        <v>1</v>
      </c>
      <c r="P51" s="44"/>
    </row>
    <row r="52" spans="1:16">
      <c r="A52" s="2">
        <f t="shared" si="2"/>
        <v>49</v>
      </c>
      <c r="B52" s="40" t="s">
        <v>749</v>
      </c>
      <c r="C52" s="4">
        <f>scale*SAM!I7/pa_a0</f>
        <v>58.570509595000004</v>
      </c>
      <c r="D52" s="4">
        <f>xai_a0</f>
        <v>58.570509595000004</v>
      </c>
      <c r="E52" s="32">
        <f t="shared" si="0"/>
        <v>0</v>
      </c>
      <c r="F52" s="44"/>
      <c r="G52" s="53" t="s">
        <v>750</v>
      </c>
      <c r="H52" s="16">
        <f>xai_a*((1+iti_a)*pa_a)^sigmai-ai_a*xi*pi^sigmai</f>
        <v>0</v>
      </c>
      <c r="J52" s="44"/>
      <c r="K52" s="44"/>
      <c r="L52" s="44"/>
      <c r="M52" s="44"/>
      <c r="O52" s="4">
        <f>xai_a0</f>
        <v>58.570509595000004</v>
      </c>
      <c r="P52" s="44"/>
    </row>
    <row r="53" spans="1:16">
      <c r="A53" s="2">
        <f t="shared" si="2"/>
        <v>50</v>
      </c>
      <c r="B53" s="40" t="s">
        <v>94</v>
      </c>
      <c r="C53" s="4">
        <f>scale*SAM!I8/pa_o0</f>
        <v>23016.550355765004</v>
      </c>
      <c r="D53" s="4">
        <f>xai_o0</f>
        <v>23016.550355765004</v>
      </c>
      <c r="E53" s="32">
        <f t="shared" si="0"/>
        <v>0</v>
      </c>
      <c r="F53" s="44"/>
      <c r="G53" s="53" t="s">
        <v>96</v>
      </c>
      <c r="H53" s="16">
        <f>xai_o*((1+iti_o)*pa_o)^sigmai-ai_o*xi*pi^sigmai</f>
        <v>0</v>
      </c>
      <c r="J53" s="44"/>
      <c r="K53" s="44"/>
      <c r="L53" s="44"/>
      <c r="M53" s="44"/>
      <c r="O53" s="4">
        <f>xai_o0</f>
        <v>23016.550355765004</v>
      </c>
      <c r="P53" s="44"/>
    </row>
    <row r="54" spans="1:16">
      <c r="A54" s="2">
        <f t="shared" si="2"/>
        <v>51</v>
      </c>
      <c r="B54" s="40" t="s">
        <v>751</v>
      </c>
      <c r="C54" s="9">
        <v>1</v>
      </c>
      <c r="D54" s="5">
        <f>pd_a0</f>
        <v>1</v>
      </c>
      <c r="E54" s="32">
        <f t="shared" si="0"/>
        <v>0</v>
      </c>
      <c r="F54" s="44"/>
      <c r="G54" s="53" t="s">
        <v>752</v>
      </c>
      <c r="H54" s="16">
        <f>xds_a-xdd_a</f>
        <v>0</v>
      </c>
      <c r="J54" s="44"/>
      <c r="K54" s="44"/>
      <c r="L54" s="44"/>
      <c r="M54" s="44"/>
      <c r="O54" s="5">
        <f>pd_a0</f>
        <v>1</v>
      </c>
      <c r="P54" s="44"/>
    </row>
    <row r="55" spans="1:16">
      <c r="A55" s="2">
        <f t="shared" si="2"/>
        <v>52</v>
      </c>
      <c r="B55" s="40" t="s">
        <v>112</v>
      </c>
      <c r="C55" s="9">
        <v>1</v>
      </c>
      <c r="D55" s="5">
        <f>pd_o0</f>
        <v>1</v>
      </c>
      <c r="E55" s="32">
        <f t="shared" si="0"/>
        <v>0</v>
      </c>
      <c r="F55" s="44"/>
      <c r="G55" s="53" t="s">
        <v>121</v>
      </c>
      <c r="H55" s="16">
        <f>xds_o-xdd_o</f>
        <v>0</v>
      </c>
      <c r="J55" s="44"/>
      <c r="K55" s="44"/>
      <c r="L55" s="44"/>
      <c r="M55" s="44"/>
      <c r="O55" s="5">
        <f>pd_o0</f>
        <v>1</v>
      </c>
      <c r="P55" s="44"/>
    </row>
    <row r="56" spans="1:16">
      <c r="A56" s="2">
        <f t="shared" si="2"/>
        <v>53</v>
      </c>
      <c r="B56" s="40" t="s">
        <v>753</v>
      </c>
      <c r="C56" s="5">
        <f>er0*(1+tm_a0)*wpm_a0</f>
        <v>1.1329720392411693</v>
      </c>
      <c r="D56" s="5">
        <f>pm_a0</f>
        <v>1.1329720392411693</v>
      </c>
      <c r="E56" s="32">
        <f t="shared" si="0"/>
        <v>0</v>
      </c>
      <c r="F56" s="44"/>
      <c r="G56" s="53" t="s">
        <v>754</v>
      </c>
      <c r="H56" s="16">
        <f>pm_a-er*(1+tm_a)*wpm_a</f>
        <v>0</v>
      </c>
      <c r="J56" s="44"/>
      <c r="K56" s="44"/>
      <c r="L56" s="44"/>
      <c r="M56" s="44"/>
      <c r="O56" s="5">
        <f>pm_a0</f>
        <v>1.1329720392411693</v>
      </c>
      <c r="P56" s="44"/>
    </row>
    <row r="57" spans="1:16">
      <c r="A57" s="2">
        <f t="shared" si="2"/>
        <v>54</v>
      </c>
      <c r="B57" s="40" t="s">
        <v>113</v>
      </c>
      <c r="C57" s="5">
        <f>er0*(1+tm_o0)*wpm_o0</f>
        <v>1.0876212190568553</v>
      </c>
      <c r="D57" s="5">
        <f>pm_o0</f>
        <v>1.0876212190568553</v>
      </c>
      <c r="E57" s="32">
        <f t="shared" si="0"/>
        <v>0</v>
      </c>
      <c r="F57" s="44"/>
      <c r="G57" s="53" t="s">
        <v>122</v>
      </c>
      <c r="H57" s="16">
        <f>pm_o-er*(1+tm_o)*wpm_o</f>
        <v>0</v>
      </c>
      <c r="J57" s="44"/>
      <c r="K57" s="44"/>
      <c r="L57" s="44"/>
      <c r="M57" s="44"/>
      <c r="O57" s="5">
        <f>pm_o0</f>
        <v>1.0876212190568553</v>
      </c>
      <c r="P57" s="44"/>
    </row>
    <row r="58" spans="1:16">
      <c r="A58" s="2">
        <f t="shared" si="2"/>
        <v>55</v>
      </c>
      <c r="B58" s="40" t="s">
        <v>757</v>
      </c>
      <c r="C58" s="4">
        <f>xap_aa0+xap_ao0+xac_a0+xag_a0+xai_a0</f>
        <v>15960.665645585002</v>
      </c>
      <c r="D58" s="4">
        <f>xa_a0</f>
        <v>15960.665645585002</v>
      </c>
      <c r="E58" s="32">
        <f t="shared" si="0"/>
        <v>0</v>
      </c>
      <c r="F58" s="44"/>
      <c r="G58" s="53" t="s">
        <v>756</v>
      </c>
      <c r="H58" s="16">
        <f>xa_a-(xap_aa+xap_ao+xac_a+xag_a+xai_a)</f>
        <v>0</v>
      </c>
      <c r="J58" s="44"/>
      <c r="K58" s="44"/>
      <c r="L58" s="44"/>
      <c r="M58" s="44"/>
      <c r="O58" s="4">
        <f>xa_a0</f>
        <v>15960.665645585002</v>
      </c>
      <c r="P58" s="44"/>
    </row>
    <row r="59" spans="1:16">
      <c r="A59" s="2">
        <f t="shared" si="2"/>
        <v>56</v>
      </c>
      <c r="B59" s="40" t="s">
        <v>115</v>
      </c>
      <c r="C59" s="4">
        <f>xap_oa0+xap_oo0+xac_o0+xag_o0+xai_o0</f>
        <v>226841.7215748865</v>
      </c>
      <c r="D59" s="4">
        <f>xa_o0</f>
        <v>226841.7215748865</v>
      </c>
      <c r="E59" s="32">
        <f t="shared" si="0"/>
        <v>1.4210854715202004E-14</v>
      </c>
      <c r="F59" s="44"/>
      <c r="G59" s="53" t="s">
        <v>123</v>
      </c>
      <c r="H59" s="16">
        <f>xa_o-(xap_oa+xap_oo+xac_o+xag_o+xai_o)</f>
        <v>0</v>
      </c>
      <c r="J59" s="44"/>
      <c r="K59" s="44"/>
      <c r="L59" s="44"/>
      <c r="M59" s="44"/>
      <c r="O59" s="4">
        <f>xa_o0</f>
        <v>226841.7215748865</v>
      </c>
      <c r="P59" s="44"/>
    </row>
    <row r="60" spans="1:16">
      <c r="A60" s="2">
        <f t="shared" si="2"/>
        <v>57</v>
      </c>
      <c r="B60" s="40" t="s">
        <v>758</v>
      </c>
      <c r="C60" s="4">
        <f>(pa_a0*xa_a0-pm_a0*xm_a0)/pd_a0</f>
        <v>14088.668833004001</v>
      </c>
      <c r="D60" s="4">
        <f>xdd_a0</f>
        <v>14088.668833004001</v>
      </c>
      <c r="E60" s="32">
        <f t="shared" si="0"/>
        <v>0</v>
      </c>
      <c r="F60" s="44"/>
      <c r="G60" s="53" t="s">
        <v>759</v>
      </c>
      <c r="H60" s="16">
        <f>xdd_a*pd_a^sigmam_a-ad_a*xa_a*pa_a^sigmam_a</f>
        <v>0</v>
      </c>
      <c r="J60" s="44"/>
      <c r="K60" s="44"/>
      <c r="L60" s="44"/>
      <c r="M60" s="44"/>
      <c r="O60" s="4">
        <f>xdd_a0</f>
        <v>14088.668833004001</v>
      </c>
      <c r="P60" s="44"/>
    </row>
    <row r="61" spans="1:16">
      <c r="A61" s="2">
        <f t="shared" si="2"/>
        <v>58</v>
      </c>
      <c r="B61" s="40" t="s">
        <v>119</v>
      </c>
      <c r="C61" s="4">
        <f>(pa_o0*xa_o0-pm_o0*xm_o0)/pd_o0</f>
        <v>159582.20454672651</v>
      </c>
      <c r="D61" s="4">
        <f>xdd_o0</f>
        <v>159582.20454672651</v>
      </c>
      <c r="E61" s="32">
        <f t="shared" si="0"/>
        <v>0</v>
      </c>
      <c r="F61" s="44"/>
      <c r="G61" s="53" t="s">
        <v>124</v>
      </c>
      <c r="H61" s="16">
        <f>xdd_o*pd_o^sigmam_o-ad_o*xa_o*pa_o^sigmam_o</f>
        <v>0</v>
      </c>
      <c r="J61" s="44"/>
      <c r="K61" s="44"/>
      <c r="L61" s="44"/>
      <c r="M61" s="44"/>
      <c r="O61" s="4">
        <f>xdd_o0</f>
        <v>159582.20454672651</v>
      </c>
      <c r="P61" s="44"/>
    </row>
    <row r="62" spans="1:16">
      <c r="A62" s="2">
        <f t="shared" si="2"/>
        <v>59</v>
      </c>
      <c r="B62" s="40" t="s">
        <v>760</v>
      </c>
      <c r="C62" s="4">
        <f>scale*SAM!B22/(er0*wpm_a0)</f>
        <v>1652.288624735</v>
      </c>
      <c r="D62" s="4">
        <f>xm_a0</f>
        <v>1652.288624735</v>
      </c>
      <c r="E62" s="32">
        <f t="shared" si="0"/>
        <v>0</v>
      </c>
      <c r="F62" s="44"/>
      <c r="G62" s="53" t="s">
        <v>761</v>
      </c>
      <c r="H62" s="16">
        <f>xm_a*pm_a^sigmam_a-am_a*xa_a*pa_a^sigmam_a</f>
        <v>0</v>
      </c>
      <c r="J62" s="44"/>
      <c r="K62" s="44"/>
      <c r="L62" s="44"/>
      <c r="M62" s="44"/>
      <c r="O62" s="4">
        <f>xm_a0</f>
        <v>1652.288624735</v>
      </c>
      <c r="P62" s="44"/>
    </row>
    <row r="63" spans="1:16">
      <c r="A63" s="2">
        <f t="shared" si="2"/>
        <v>60</v>
      </c>
      <c r="B63" s="40" t="s">
        <v>120</v>
      </c>
      <c r="C63" s="4">
        <f>scale*SAM!C22/(er0*wpm_o0)</f>
        <v>61840.938600374997</v>
      </c>
      <c r="D63" s="4">
        <f>xm_o0</f>
        <v>61840.938600374997</v>
      </c>
      <c r="E63" s="32">
        <f t="shared" si="0"/>
        <v>0</v>
      </c>
      <c r="F63" s="44"/>
      <c r="G63" s="53" t="s">
        <v>125</v>
      </c>
      <c r="H63" s="16">
        <f>xm_o*pm_o^sigmam_o-am_o*xa_o*pa_o^sigmam_o</f>
        <v>0</v>
      </c>
      <c r="J63" s="44"/>
      <c r="K63" s="44"/>
      <c r="L63" s="44"/>
      <c r="M63" s="44"/>
      <c r="O63" s="4">
        <f>xm_o0</f>
        <v>61840.938600374997</v>
      </c>
      <c r="P63" s="44"/>
    </row>
    <row r="64" spans="1:16">
      <c r="A64" s="2">
        <f t="shared" si="2"/>
        <v>61</v>
      </c>
      <c r="B64" s="40" t="s">
        <v>762</v>
      </c>
      <c r="C64" s="4">
        <f>xdd_a0</f>
        <v>14088.668833004001</v>
      </c>
      <c r="D64" s="4">
        <f>xds_a0</f>
        <v>14088.668833004001</v>
      </c>
      <c r="E64" s="32">
        <f t="shared" si="0"/>
        <v>0</v>
      </c>
      <c r="F64" s="44"/>
      <c r="G64" s="53" t="s">
        <v>763</v>
      </c>
      <c r="H64" s="16">
        <f>xds_a*pp_a^sigmax_a-gd_a*xp_a*pd_a^sigmax_a</f>
        <v>0</v>
      </c>
      <c r="J64" s="44"/>
      <c r="K64" s="44"/>
      <c r="L64" s="44"/>
      <c r="M64" s="44"/>
      <c r="O64" s="4">
        <f>xds_a0</f>
        <v>14088.668833004001</v>
      </c>
      <c r="P64" s="44"/>
    </row>
    <row r="65" spans="1:16">
      <c r="A65" s="2">
        <f t="shared" si="2"/>
        <v>62</v>
      </c>
      <c r="B65" s="40" t="s">
        <v>129</v>
      </c>
      <c r="C65" s="4">
        <f>xdd_o0</f>
        <v>159582.20454672651</v>
      </c>
      <c r="D65" s="4">
        <f>xds_o0</f>
        <v>159582.20454672651</v>
      </c>
      <c r="E65" s="32">
        <f t="shared" si="0"/>
        <v>0</v>
      </c>
      <c r="F65" s="44"/>
      <c r="G65" s="53" t="s">
        <v>133</v>
      </c>
      <c r="H65" s="16">
        <f>xds_o*pp_o^sigmax_o-gd_o*xp_o*pd_o^sigmax_o</f>
        <v>0</v>
      </c>
      <c r="J65" s="44"/>
      <c r="K65" s="44"/>
      <c r="L65" s="44"/>
      <c r="M65" s="44"/>
      <c r="O65" s="4">
        <f>xds_o0</f>
        <v>159582.20454672651</v>
      </c>
      <c r="P65" s="44"/>
    </row>
    <row r="66" spans="1:16">
      <c r="A66" s="2">
        <f t="shared" si="2"/>
        <v>63</v>
      </c>
      <c r="B66" s="40" t="s">
        <v>764</v>
      </c>
      <c r="C66" s="4">
        <f>scale*(SAM!K7+SAM!Q7)/(pe_a0*(1+te_a0))</f>
        <v>2767.5739260140003</v>
      </c>
      <c r="D66" s="4">
        <f>es_a0</f>
        <v>2767.5739260140003</v>
      </c>
      <c r="E66" s="32">
        <f t="shared" si="0"/>
        <v>0</v>
      </c>
      <c r="F66" s="44"/>
      <c r="G66" s="53" t="s">
        <v>765</v>
      </c>
      <c r="H66" s="16">
        <f>es_a*pp_a^sigmax_a-ge_a*xp_a*pe_a^sigmax_a</f>
        <v>0</v>
      </c>
      <c r="J66" s="44"/>
      <c r="K66" s="44"/>
      <c r="L66" s="44"/>
      <c r="M66" s="44"/>
      <c r="O66" s="4">
        <f>es_a0</f>
        <v>2767.5739260140003</v>
      </c>
      <c r="P66" s="44"/>
    </row>
    <row r="67" spans="1:16">
      <c r="A67" s="2">
        <f t="shared" si="2"/>
        <v>64</v>
      </c>
      <c r="B67" s="40" t="s">
        <v>130</v>
      </c>
      <c r="C67" s="4">
        <f>scale*(SAM!K8+SAM!Q8)/(pe_o0*(1+te_o0))</f>
        <v>78136.839343430984</v>
      </c>
      <c r="D67" s="4">
        <f>es_o0</f>
        <v>78136.839343430984</v>
      </c>
      <c r="E67" s="32">
        <f t="shared" si="0"/>
        <v>0</v>
      </c>
      <c r="F67" s="44"/>
      <c r="G67" s="53" t="s">
        <v>134</v>
      </c>
      <c r="H67" s="16">
        <f>es_o*pp_o^sigmax_o-ge_o*xp_o*pe_o^sigmax_o</f>
        <v>0</v>
      </c>
      <c r="J67" s="44"/>
      <c r="K67" s="44"/>
      <c r="L67" s="44"/>
      <c r="M67" s="44"/>
      <c r="O67" s="4">
        <f>es_o0</f>
        <v>78136.839343430984</v>
      </c>
      <c r="P67" s="44"/>
    </row>
    <row r="68" spans="1:16">
      <c r="A68" s="2">
        <f t="shared" si="2"/>
        <v>65</v>
      </c>
      <c r="B68" s="40" t="s">
        <v>766</v>
      </c>
      <c r="C68" s="9">
        <v>1</v>
      </c>
      <c r="D68" s="5">
        <f>pe_a0</f>
        <v>1</v>
      </c>
      <c r="E68" s="32">
        <f t="shared" si="0"/>
        <v>0</v>
      </c>
      <c r="F68" s="44"/>
      <c r="G68" s="53" t="s">
        <v>769</v>
      </c>
      <c r="H68" s="16">
        <f>pe_a*(1+te_a)-er*wpe_a</f>
        <v>0</v>
      </c>
      <c r="J68" s="44"/>
      <c r="K68" s="44"/>
      <c r="L68" s="44"/>
      <c r="M68" s="44"/>
      <c r="O68" s="5">
        <f>pe_a0</f>
        <v>1</v>
      </c>
      <c r="P68" s="44"/>
    </row>
    <row r="69" spans="1:16">
      <c r="A69" s="2">
        <f t="shared" si="2"/>
        <v>66</v>
      </c>
      <c r="B69" s="40" t="s">
        <v>131</v>
      </c>
      <c r="C69" s="9">
        <v>1</v>
      </c>
      <c r="D69" s="5">
        <f>pe_o0</f>
        <v>1</v>
      </c>
      <c r="E69" s="32">
        <f t="shared" si="0"/>
        <v>0</v>
      </c>
      <c r="F69" s="44"/>
      <c r="G69" s="53" t="s">
        <v>135</v>
      </c>
      <c r="H69" s="16">
        <f>pe_o*(1+te_o)-er*wpe_o</f>
        <v>0</v>
      </c>
      <c r="J69" s="44"/>
      <c r="K69" s="44"/>
      <c r="L69" s="44"/>
      <c r="M69" s="44"/>
      <c r="O69" s="5">
        <f>pe_o0</f>
        <v>1</v>
      </c>
      <c r="P69" s="44"/>
    </row>
    <row r="70" spans="1:16">
      <c r="A70" s="2">
        <f t="shared" ref="A70:A90" si="3">A69+1</f>
        <v>67</v>
      </c>
      <c r="B70" s="40" t="s">
        <v>770</v>
      </c>
      <c r="C70" s="4">
        <f>es_a0</f>
        <v>2767.5739260140003</v>
      </c>
      <c r="D70" s="4">
        <f>ed_a0</f>
        <v>2767.5739260140003</v>
      </c>
      <c r="E70" s="32">
        <f t="shared" si="0"/>
        <v>0</v>
      </c>
      <c r="F70" s="44"/>
      <c r="G70" s="53" t="s">
        <v>771</v>
      </c>
      <c r="H70" s="16">
        <f>ed_a*wpe_a^epse_a-aed_a*wpebar_a^epse_a</f>
        <v>0</v>
      </c>
      <c r="J70" s="44"/>
      <c r="K70" s="44"/>
      <c r="L70" s="44"/>
      <c r="M70" s="44"/>
      <c r="O70" s="4">
        <f>ed_a0</f>
        <v>2767.5739260140003</v>
      </c>
      <c r="P70" s="44"/>
    </row>
    <row r="71" spans="1:16">
      <c r="A71" s="2">
        <f t="shared" si="3"/>
        <v>68</v>
      </c>
      <c r="B71" s="40" t="s">
        <v>132</v>
      </c>
      <c r="C71" s="4">
        <f>es_o0</f>
        <v>78136.839343430984</v>
      </c>
      <c r="D71" s="4">
        <f>ed_o0</f>
        <v>78136.839343430984</v>
      </c>
      <c r="E71" s="32">
        <f t="shared" si="0"/>
        <v>0</v>
      </c>
      <c r="F71" s="44"/>
      <c r="G71" s="53" t="s">
        <v>136</v>
      </c>
      <c r="H71" s="16">
        <f>ed_o*wpe_o^epse_o-aed_o*wpebar_o^epse_o</f>
        <v>0</v>
      </c>
      <c r="J71" s="44"/>
      <c r="K71" s="44"/>
      <c r="L71" s="44"/>
      <c r="M71" s="44"/>
      <c r="O71" s="4">
        <f>ed_o0</f>
        <v>78136.839343430984</v>
      </c>
      <c r="P71" s="44"/>
    </row>
    <row r="72" spans="1:16">
      <c r="A72" s="2">
        <f t="shared" si="3"/>
        <v>69</v>
      </c>
      <c r="B72" s="40" t="s">
        <v>767</v>
      </c>
      <c r="C72" s="5">
        <f>pe_a0*(1+te_a0)/er0</f>
        <v>1</v>
      </c>
      <c r="D72" s="5">
        <f>wpe_a0</f>
        <v>1</v>
      </c>
      <c r="E72" s="32">
        <f t="shared" si="0"/>
        <v>0</v>
      </c>
      <c r="F72" s="44"/>
      <c r="G72" s="53" t="s">
        <v>768</v>
      </c>
      <c r="H72" s="16">
        <f>es_a-ed_a</f>
        <v>0</v>
      </c>
      <c r="J72" s="44"/>
      <c r="K72" s="44"/>
      <c r="L72" s="44"/>
      <c r="M72" s="44"/>
      <c r="O72" s="5">
        <f>wpe_a0</f>
        <v>1</v>
      </c>
      <c r="P72" s="44"/>
    </row>
    <row r="73" spans="1:16">
      <c r="A73" s="2">
        <f t="shared" si="3"/>
        <v>70</v>
      </c>
      <c r="B73" s="40" t="s">
        <v>108</v>
      </c>
      <c r="C73" s="5">
        <f>pe_o0*(1+te_o0)/er0</f>
        <v>1.0033356564999056</v>
      </c>
      <c r="D73" s="5">
        <f>wpe_o0</f>
        <v>1.0033356564999056</v>
      </c>
      <c r="E73" s="32">
        <f t="shared" si="0"/>
        <v>0</v>
      </c>
      <c r="F73" s="44"/>
      <c r="G73" s="53" t="s">
        <v>137</v>
      </c>
      <c r="H73" s="16">
        <f>es_o-ed_o</f>
        <v>0</v>
      </c>
      <c r="J73" s="44"/>
      <c r="K73" s="44"/>
      <c r="L73" s="44"/>
      <c r="M73" s="44"/>
      <c r="O73" s="5">
        <f>wpe_o0</f>
        <v>1.0033356564999056</v>
      </c>
      <c r="P73" s="44"/>
    </row>
    <row r="74" spans="1:16">
      <c r="A74" s="2">
        <f t="shared" si="3"/>
        <v>71</v>
      </c>
      <c r="B74" s="40" t="s">
        <v>140</v>
      </c>
      <c r="C74" s="4">
        <f>pa_a0*(itp_aa0*xap_aa0+itp_ao0*xap_ao0+itc_a0*xac_a0+itg_a0*xag_a0+iti_a0*xai_a0)+pa_o0*(itp_oa0*xap_oa0+itp_oo0*xap_oo0+itc_o0*xac_o0+itg_o0*xag_o0+iti_o0*xai_o0)</f>
        <v>18.993444447999988</v>
      </c>
      <c r="D74" s="4">
        <f>itaxY0</f>
        <v>18.993444447999988</v>
      </c>
      <c r="E74" s="32">
        <f t="shared" si="0"/>
        <v>0</v>
      </c>
      <c r="F74" s="44"/>
      <c r="G74" s="53" t="s">
        <v>144</v>
      </c>
      <c r="H74" s="16">
        <f>itaxY-pa_a*(itp_aa*xap_aa+itp_ao*xap_ao+itc_a*xac_a+itg_a*xag_a+iti_a*xai_a)-pa_o*(itp_oa*xap_oa+itp_oo*xap_oo+itc_o*xac_o+itg_o*xag_o+iti_o*xai_o)</f>
        <v>0</v>
      </c>
      <c r="J74" s="44"/>
      <c r="K74" s="44"/>
      <c r="L74" s="44"/>
      <c r="M74" s="44"/>
      <c r="O74" s="4">
        <f>itaxY0</f>
        <v>18.993444447999988</v>
      </c>
      <c r="P74" s="44"/>
    </row>
    <row r="75" spans="1:16">
      <c r="A75" s="2">
        <f t="shared" si="3"/>
        <v>72</v>
      </c>
      <c r="B75" s="40" t="s">
        <v>142</v>
      </c>
      <c r="C75" s="4">
        <f>er0*(tm_a0*wpm_a0*xm_a0+tm_o0*wpm_o0*xm_o0)+te_a0*pe_a0*es_a0+te_o0*pe_o0*es_o0</f>
        <v>5898.9242716689996</v>
      </c>
      <c r="D75" s="4">
        <f>tradeY0</f>
        <v>5898.9242716689996</v>
      </c>
      <c r="E75" s="32">
        <f t="shared" si="0"/>
        <v>1.4210854715202004E-14</v>
      </c>
      <c r="F75" s="44"/>
      <c r="G75" s="53" t="s">
        <v>145</v>
      </c>
      <c r="H75" s="16">
        <f>tradeY-er*(tm_a*wpm_a*xm_a+tm_o*wpm_o*xm_o)-te_a*pe_a*es_a-te_o*pe_o*es_o</f>
        <v>0</v>
      </c>
      <c r="J75" s="44"/>
      <c r="K75" s="44"/>
      <c r="L75" s="44"/>
      <c r="M75" s="44"/>
      <c r="O75" s="4">
        <f>tradeY0</f>
        <v>5898.9242716689996</v>
      </c>
      <c r="P75" s="44"/>
    </row>
    <row r="76" spans="1:16">
      <c r="A76" s="2">
        <f t="shared" si="3"/>
        <v>73</v>
      </c>
      <c r="B76" s="40" t="s">
        <v>92</v>
      </c>
      <c r="C76" s="4">
        <f>tp_a0*px_a0*xp_a0+tp_o0*px_o0*xp_o0+itaxY0+kappa0*yh0+tradeY0</f>
        <v>11558.224739746969</v>
      </c>
      <c r="D76" s="4">
        <f>GRev0</f>
        <v>11558.224739746969</v>
      </c>
      <c r="E76" s="32">
        <f t="shared" ref="E76:E89" si="4">IF(C76&lt;&gt;0,100*D76/C76-100,"")</f>
        <v>-1.4210854715202004E-14</v>
      </c>
      <c r="F76" s="44"/>
      <c r="G76" s="53" t="s">
        <v>146</v>
      </c>
      <c r="H76" s="16">
        <f>GRev-(tp_a*px_a*xp_a+tp_o*px_o*xp_o+itaxY+kappa*yh+tradeY)</f>
        <v>0</v>
      </c>
      <c r="J76" s="44"/>
      <c r="K76" s="44"/>
      <c r="L76" s="44"/>
      <c r="M76" s="44"/>
      <c r="O76" s="4">
        <f>GRev0</f>
        <v>11558.224739746969</v>
      </c>
      <c r="P76" s="44"/>
    </row>
    <row r="77" spans="1:16">
      <c r="A77" s="2">
        <f t="shared" si="3"/>
        <v>74</v>
      </c>
      <c r="B77" s="40" t="s">
        <v>143</v>
      </c>
      <c r="C77" s="4">
        <f>GRev0-pg0*xg0-pindex0*gtrh0</f>
        <v>-8.3579435038700467E-2</v>
      </c>
      <c r="D77" s="4">
        <f>savg0</f>
        <v>-8.3579435038700467E-2</v>
      </c>
      <c r="E77" s="32">
        <f t="shared" si="4"/>
        <v>0</v>
      </c>
      <c r="F77" s="44"/>
      <c r="G77" s="53" t="s">
        <v>147</v>
      </c>
      <c r="H77" s="16">
        <f>savg-(GRev-pg*xg-pindex*gtrh)</f>
        <v>0</v>
      </c>
      <c r="J77" s="44"/>
      <c r="K77" s="44"/>
      <c r="L77" s="44"/>
      <c r="M77" s="44"/>
      <c r="O77" s="4">
        <f>savg0</f>
        <v>-8.3579435038700467E-2</v>
      </c>
      <c r="P77" s="44"/>
    </row>
    <row r="78" spans="1:16">
      <c r="A78" s="2">
        <f t="shared" si="3"/>
        <v>75</v>
      </c>
      <c r="B78" s="40" t="s">
        <v>152</v>
      </c>
      <c r="C78" s="4">
        <f>ld_a0+ld_o0</f>
        <v>30792.058991115002</v>
      </c>
      <c r="D78" s="4">
        <f>Ls0</f>
        <v>30792.058991115002</v>
      </c>
      <c r="E78" s="32">
        <f t="shared" si="4"/>
        <v>0</v>
      </c>
      <c r="F78" s="44"/>
      <c r="G78" s="53" t="s">
        <v>155</v>
      </c>
      <c r="H78" s="16">
        <f>Ls*pindex^omegal-als*wage^omegal</f>
        <v>0</v>
      </c>
      <c r="J78" s="44"/>
      <c r="K78" s="44"/>
      <c r="L78" s="44"/>
      <c r="M78" s="44"/>
      <c r="O78" s="4">
        <f>Ls0</f>
        <v>30792.058991115002</v>
      </c>
      <c r="P78" s="44"/>
    </row>
    <row r="79" spans="1:16">
      <c r="A79" s="2">
        <f t="shared" si="3"/>
        <v>76</v>
      </c>
      <c r="B79" s="40" t="s">
        <v>156</v>
      </c>
      <c r="C79" s="4">
        <f>(rent_a0*ks_a0+rent_o0*ks_o0)/Trent0</f>
        <v>66512.846480799999</v>
      </c>
      <c r="D79" s="4">
        <f>TK0</f>
        <v>66512.846480799999</v>
      </c>
      <c r="E79" s="32">
        <f t="shared" si="4"/>
        <v>0</v>
      </c>
      <c r="F79" s="44"/>
      <c r="G79" s="53" t="s">
        <v>159</v>
      </c>
      <c r="H79" s="16">
        <f>TK-TK0</f>
        <v>0</v>
      </c>
      <c r="J79" s="44"/>
      <c r="K79" s="44"/>
      <c r="L79" s="44"/>
      <c r="M79" s="44"/>
      <c r="O79" s="4">
        <f>TK0</f>
        <v>66512.846480799999</v>
      </c>
      <c r="P79" s="44"/>
    </row>
    <row r="80" spans="1:16">
      <c r="A80" s="2">
        <f t="shared" si="3"/>
        <v>77</v>
      </c>
      <c r="B80" s="40" t="s">
        <v>157</v>
      </c>
      <c r="C80" s="9">
        <v>1</v>
      </c>
      <c r="D80" s="5">
        <f>Trent0</f>
        <v>1</v>
      </c>
      <c r="E80" s="32">
        <f t="shared" si="4"/>
        <v>0</v>
      </c>
      <c r="F80" s="44"/>
      <c r="G80" s="53" t="s">
        <v>160</v>
      </c>
      <c r="H80" s="16">
        <f>TRent^(1+omegak)-aks_a*rent_a^(1+omegak)-aks_o*rent_o^(1+omegak)</f>
        <v>0</v>
      </c>
      <c r="J80" s="44"/>
      <c r="K80" s="44"/>
      <c r="L80" s="44"/>
      <c r="M80" s="44"/>
      <c r="O80" s="5">
        <f>Trent0</f>
        <v>1</v>
      </c>
      <c r="P80" s="44"/>
    </row>
    <row r="81" spans="1:16">
      <c r="A81" s="2">
        <f t="shared" si="3"/>
        <v>78</v>
      </c>
      <c r="B81" s="40" t="s">
        <v>773</v>
      </c>
      <c r="C81" s="4">
        <f>kd_a0</f>
        <v>5775.2975462000013</v>
      </c>
      <c r="D81" s="4">
        <f>ks_a0</f>
        <v>5775.2975462000013</v>
      </c>
      <c r="E81" s="32">
        <f t="shared" si="4"/>
        <v>0</v>
      </c>
      <c r="F81" s="44"/>
      <c r="G81" s="53" t="s">
        <v>772</v>
      </c>
      <c r="H81" s="16">
        <f>ks_a*TRent^omegak-aks_a*TK*rent_a^omegak</f>
        <v>0</v>
      </c>
      <c r="J81" s="44"/>
      <c r="K81" s="44"/>
      <c r="L81" s="44"/>
      <c r="M81" s="44"/>
      <c r="O81" s="4">
        <f>ks_a0</f>
        <v>5775.2975462000013</v>
      </c>
      <c r="P81" s="44"/>
    </row>
    <row r="82" spans="1:16">
      <c r="A82" s="2">
        <f t="shared" si="3"/>
        <v>79</v>
      </c>
      <c r="B82" s="40" t="s">
        <v>158</v>
      </c>
      <c r="C82" s="4">
        <f>kd_o0</f>
        <v>60737.548934599996</v>
      </c>
      <c r="D82" s="4">
        <f>ks_o0</f>
        <v>60737.548934599996</v>
      </c>
      <c r="E82" s="32">
        <f t="shared" si="4"/>
        <v>0</v>
      </c>
      <c r="F82" s="44"/>
      <c r="G82" s="53" t="s">
        <v>161</v>
      </c>
      <c r="H82" s="16">
        <f>ks_o*TRent^omegak-aks_o*TK*rent_o^omegak</f>
        <v>0</v>
      </c>
      <c r="J82" s="44"/>
      <c r="K82" s="44"/>
      <c r="L82" s="44"/>
      <c r="M82" s="44"/>
      <c r="O82" s="4">
        <f>ks_o0</f>
        <v>60737.548934599996</v>
      </c>
      <c r="P82" s="44"/>
    </row>
    <row r="83" spans="1:16">
      <c r="A83" s="2">
        <f t="shared" si="3"/>
        <v>80</v>
      </c>
      <c r="B83" s="40" t="s">
        <v>774</v>
      </c>
      <c r="C83" s="4">
        <f>fd_a0</f>
        <v>1374.2495100000001</v>
      </c>
      <c r="D83" s="4">
        <f>fs_a0</f>
        <v>1374.2495100000001</v>
      </c>
      <c r="E83" s="32">
        <f t="shared" si="4"/>
        <v>0</v>
      </c>
      <c r="F83" s="44"/>
      <c r="G83" s="53" t="s">
        <v>775</v>
      </c>
      <c r="H83" s="16">
        <f>fs_a*pindex^omegaf_a-afs_a*pf_a^omegaf_a</f>
        <v>0</v>
      </c>
      <c r="J83" s="44"/>
      <c r="K83" s="44"/>
      <c r="L83" s="44"/>
      <c r="M83" s="44"/>
      <c r="O83" s="4">
        <f>fs_a0</f>
        <v>1374.2495100000001</v>
      </c>
      <c r="P83" s="44"/>
    </row>
    <row r="84" spans="1:16">
      <c r="A84" s="2">
        <f t="shared" si="3"/>
        <v>81</v>
      </c>
      <c r="B84" s="40" t="s">
        <v>701</v>
      </c>
      <c r="C84" s="4">
        <f>fd_o0</f>
        <v>223.53860499999999</v>
      </c>
      <c r="D84" s="4">
        <f>fs_o0</f>
        <v>223.53860499999999</v>
      </c>
      <c r="E84" s="32">
        <f t="shared" si="4"/>
        <v>0</v>
      </c>
      <c r="F84" s="44"/>
      <c r="G84" s="53" t="s">
        <v>702</v>
      </c>
      <c r="H84" s="16">
        <f>fs_o*pindex^omegaf_o-afs_o*pf_o^omegaf_o</f>
        <v>0</v>
      </c>
      <c r="J84" s="44"/>
      <c r="K84" s="44"/>
      <c r="L84" s="44"/>
      <c r="M84" s="44"/>
      <c r="O84" s="4">
        <f>fs_o0</f>
        <v>223.53860499999999</v>
      </c>
      <c r="P84" s="44"/>
    </row>
    <row r="85" spans="1:16">
      <c r="A85" s="2">
        <f t="shared" si="3"/>
        <v>82</v>
      </c>
      <c r="B85" s="40" t="s">
        <v>91</v>
      </c>
      <c r="C85" s="5">
        <f>gdpfc0/rgdp0</f>
        <v>1</v>
      </c>
      <c r="D85" s="5">
        <f>pindex0</f>
        <v>1</v>
      </c>
      <c r="E85" s="32">
        <f t="shared" si="4"/>
        <v>0</v>
      </c>
      <c r="F85" s="44"/>
      <c r="G85" s="53" t="s">
        <v>164</v>
      </c>
      <c r="H85" s="16">
        <f>pindex*rgdp-gdpfc</f>
        <v>0</v>
      </c>
      <c r="J85" s="44"/>
      <c r="K85" s="44"/>
      <c r="L85" s="44"/>
      <c r="M85" s="44"/>
      <c r="O85" s="5">
        <f>pindex0</f>
        <v>1</v>
      </c>
      <c r="P85" s="44"/>
    </row>
    <row r="86" spans="1:16">
      <c r="A86" s="2">
        <f t="shared" si="3"/>
        <v>83</v>
      </c>
      <c r="B86" s="40" t="s">
        <v>165</v>
      </c>
      <c r="C86" s="4">
        <f>wage0*(ld_a0+ld_o0)+rent_a0*kd_a0+rent_o0*kd_o0+pf_a0*fd_a0+pf_o0*fd_o0</f>
        <v>98902.693586914989</v>
      </c>
      <c r="D86" s="4">
        <f>rgdp0</f>
        <v>98902.693586914989</v>
      </c>
      <c r="E86" s="32">
        <f t="shared" si="4"/>
        <v>0</v>
      </c>
      <c r="F86" s="44"/>
      <c r="G86" s="53" t="s">
        <v>167</v>
      </c>
      <c r="H86" s="16">
        <f>rgdp-(wage0*(ld_a*lambdal_a+ld_o*lambdal_o)+rent_a0*kd_a*lambdak_a+rent_o0*kd_o*lambdak_o+pf_a0*lambdaf_a*fd_a+pf_o0*lambdaf_o*fd_o)</f>
        <v>0</v>
      </c>
      <c r="J86" s="44"/>
      <c r="K86" s="44"/>
      <c r="L86" s="44"/>
      <c r="M86" s="44"/>
      <c r="O86" s="4">
        <f>rgdp0</f>
        <v>98902.693586914989</v>
      </c>
      <c r="P86" s="44"/>
    </row>
    <row r="87" spans="1:16">
      <c r="A87" s="2">
        <f t="shared" si="3"/>
        <v>84</v>
      </c>
      <c r="B87" s="40" t="s">
        <v>166</v>
      </c>
      <c r="C87" s="4">
        <f>wage0*(ld_a0+ld_o0)+rent_a0*kd_a0+rent_o0*kd_o0+pf_a0*fd_a0+pf_o0*fd_o0</f>
        <v>98902.693586914989</v>
      </c>
      <c r="D87" s="4">
        <f>gdpfc0</f>
        <v>98902.693586914989</v>
      </c>
      <c r="E87" s="32">
        <f t="shared" si="4"/>
        <v>0</v>
      </c>
      <c r="F87" s="44"/>
      <c r="G87" s="53" t="s">
        <v>168</v>
      </c>
      <c r="H87" s="16">
        <f>gdpfc-(wage*(ld_a+ld_o)+rent_a*kd_a+rent_o*kd_o+pf_a*fd_a+pf_o*fd_o)</f>
        <v>0</v>
      </c>
      <c r="J87" s="44"/>
      <c r="K87" s="44"/>
      <c r="L87" s="44"/>
      <c r="M87" s="44"/>
      <c r="O87" s="4">
        <f>gdpfc0</f>
        <v>98902.693586914989</v>
      </c>
      <c r="P87" s="44"/>
    </row>
    <row r="88" spans="1:16">
      <c r="A88" s="2">
        <f t="shared" si="3"/>
        <v>85</v>
      </c>
      <c r="B88" s="40" t="s">
        <v>163</v>
      </c>
      <c r="C88" s="4">
        <f>savg0/pindex0</f>
        <v>-8.3579435038700467E-2</v>
      </c>
      <c r="D88" s="4">
        <f>rsg0</f>
        <v>-8.3579435038700467E-2</v>
      </c>
      <c r="E88" s="32">
        <f t="shared" si="4"/>
        <v>0</v>
      </c>
      <c r="F88" s="44"/>
      <c r="G88" s="53" t="s">
        <v>169</v>
      </c>
      <c r="H88" s="16">
        <f>rsg*pindex-savg</f>
        <v>0</v>
      </c>
      <c r="J88" s="44"/>
      <c r="K88" s="44"/>
      <c r="L88" s="44"/>
      <c r="M88" s="44"/>
      <c r="O88" s="4">
        <f>rsg0</f>
        <v>-8.3579435038700467E-2</v>
      </c>
      <c r="P88" s="44"/>
    </row>
    <row r="89" spans="1:16" ht="13" thickBot="1">
      <c r="A89" s="7">
        <f t="shared" si="3"/>
        <v>86</v>
      </c>
      <c r="B89" s="38" t="s">
        <v>88</v>
      </c>
      <c r="C89" s="8">
        <f>scale*SAM!G19/yh0</f>
        <v>-4.2669933035952588E-2</v>
      </c>
      <c r="D89" s="8">
        <f>kappa0</f>
        <v>-4.2669933035952588E-2</v>
      </c>
      <c r="E89" s="52">
        <f t="shared" si="4"/>
        <v>-1.4210854715202004E-14</v>
      </c>
      <c r="F89" s="44"/>
      <c r="G89" s="54" t="s">
        <v>170</v>
      </c>
      <c r="H89" s="17">
        <f>rsg-rsg0</f>
        <v>0</v>
      </c>
      <c r="J89" s="44"/>
      <c r="K89" s="44"/>
      <c r="L89" s="44"/>
      <c r="M89" s="44"/>
      <c r="O89" s="8">
        <f>kappa0</f>
        <v>-4.2669933035952588E-2</v>
      </c>
      <c r="P89" s="44"/>
    </row>
    <row r="90" spans="1:16">
      <c r="A90" s="46">
        <f t="shared" si="3"/>
        <v>87</v>
      </c>
      <c r="B90" s="46" t="s">
        <v>171</v>
      </c>
      <c r="C90" s="47">
        <f>wpe_a0*ed_a0+wpe_o0*ed_o0+savf0-wpm_a0*xm_a0-wpm_o0*xm_o0</f>
        <v>-0.33877962701808428</v>
      </c>
      <c r="D90" s="47">
        <f>wpe_a*ed_a+wpe_o*ed_o+savf-wpm_a*xm_a-wpm_o*xm_o</f>
        <v>-0.33877962701808428</v>
      </c>
      <c r="E90" s="46"/>
      <c r="F90" s="44"/>
      <c r="G90" s="44"/>
      <c r="H90" s="44"/>
      <c r="J90" s="44"/>
      <c r="K90" s="44"/>
      <c r="L90" s="44"/>
      <c r="M90" s="44"/>
      <c r="O90" s="44"/>
      <c r="P90" s="44"/>
    </row>
    <row r="91" spans="1:16" ht="13" thickBot="1">
      <c r="A91" s="44"/>
      <c r="B91" s="44"/>
      <c r="C91" s="48"/>
      <c r="D91" s="44"/>
      <c r="E91" s="44"/>
      <c r="F91" s="44"/>
      <c r="G91" s="44"/>
      <c r="H91" s="44"/>
      <c r="J91" s="44"/>
      <c r="K91" s="44"/>
      <c r="L91" s="44"/>
      <c r="M91" s="44"/>
      <c r="O91" s="44"/>
      <c r="P91" s="44"/>
    </row>
    <row r="92" spans="1:16">
      <c r="A92" s="63"/>
      <c r="B92" s="64"/>
      <c r="C92" s="65"/>
      <c r="D92" s="64"/>
      <c r="E92" s="66"/>
      <c r="F92" s="44"/>
      <c r="G92" s="44"/>
      <c r="H92" s="44"/>
      <c r="J92" s="44"/>
      <c r="K92" s="44"/>
      <c r="L92" s="44"/>
      <c r="M92" s="44"/>
      <c r="O92" s="44"/>
      <c r="P92" s="44"/>
    </row>
    <row r="93" spans="1:16">
      <c r="A93" s="67"/>
      <c r="B93" s="68" t="s">
        <v>661</v>
      </c>
      <c r="C93" s="69"/>
      <c r="D93" s="70"/>
      <c r="E93" s="71"/>
      <c r="F93" s="44"/>
      <c r="G93" s="44"/>
      <c r="H93" s="44"/>
      <c r="J93" s="59" t="s">
        <v>664</v>
      </c>
      <c r="K93" s="44"/>
      <c r="L93" s="44"/>
      <c r="M93" s="44"/>
      <c r="O93" s="44"/>
      <c r="P93" s="44"/>
    </row>
    <row r="94" spans="1:16">
      <c r="A94" s="67"/>
      <c r="B94" s="72" t="s">
        <v>655</v>
      </c>
      <c r="C94" s="73">
        <f>(pa_a0*(1+itc_a0)*xac_a0+pa_o0*(1+itc_o0)*xac_o0)/scale</f>
        <v>62375.479099346005</v>
      </c>
      <c r="D94" s="73">
        <f>(pa_a*(1+itc_a)*xac_a+pa_o*(1+itc_o)*xac_o)/scale</f>
        <v>62375.479099346005</v>
      </c>
      <c r="E94" s="74">
        <f t="shared" ref="E94:E99" si="5">IF(C94&lt;&gt;0,100*D94/C94-100,"")</f>
        <v>0</v>
      </c>
      <c r="F94" s="44"/>
      <c r="G94" s="62"/>
      <c r="H94" s="45"/>
      <c r="J94" s="62" t="s">
        <v>665</v>
      </c>
      <c r="K94" s="45">
        <f>itaxY0/scale</f>
        <v>18.993444447999988</v>
      </c>
      <c r="L94" s="45">
        <f>itaxY/scale</f>
        <v>18.993444447999988</v>
      </c>
      <c r="M94" s="62">
        <f t="shared" ref="M94:M102" si="6">IF(K94&lt;&gt;0,100*L94/K94-100,"")</f>
        <v>0</v>
      </c>
      <c r="O94" s="44"/>
      <c r="P94" s="44"/>
    </row>
    <row r="95" spans="1:16">
      <c r="A95" s="67"/>
      <c r="B95" s="72" t="s">
        <v>656</v>
      </c>
      <c r="C95" s="73">
        <f>(pa_a0*(1+itg_a0)*xag_a0+pa_o0*(1+itg_o0)*xag_o0)/scale</f>
        <v>11558.308319182008</v>
      </c>
      <c r="D95" s="73">
        <f>(pa_a*(1+itg_a)*xag_a+pa_o*(1+itg_o)*xag_o)/scale</f>
        <v>11558.308319182008</v>
      </c>
      <c r="E95" s="74">
        <f t="shared" si="5"/>
        <v>0</v>
      </c>
      <c r="F95" s="44"/>
      <c r="G95" s="62"/>
      <c r="H95" s="45"/>
      <c r="J95" s="62" t="s">
        <v>666</v>
      </c>
      <c r="K95" s="45">
        <f>(tradeY0-(te_a0*pe_a0*es_a0+te_o0*pe_o0*es_o0))/scale</f>
        <v>5638.2866156309992</v>
      </c>
      <c r="L95" s="45">
        <f>(tradeY-(te_a*pe_a*es_a+te_o*pe_o*es_o))/scale</f>
        <v>5638.2866156309992</v>
      </c>
      <c r="M95" s="62">
        <f t="shared" si="6"/>
        <v>0</v>
      </c>
      <c r="O95" s="44"/>
      <c r="P95" s="44"/>
    </row>
    <row r="96" spans="1:16">
      <c r="A96" s="67"/>
      <c r="B96" s="72" t="s">
        <v>657</v>
      </c>
      <c r="C96" s="73">
        <f>(pa_a0*(1+iti_a0)*xai_a0+pa_o0*(1+iti_o0)*xai_o0)/scale</f>
        <v>23075.120865360004</v>
      </c>
      <c r="D96" s="73">
        <f>(pa_a*(1+iti_a)*xai_a+pa_o*(1+iti_o)*xai_o)/scale</f>
        <v>23075.120865360004</v>
      </c>
      <c r="E96" s="74">
        <f t="shared" si="5"/>
        <v>0</v>
      </c>
      <c r="F96" s="44"/>
      <c r="G96" s="62"/>
      <c r="H96" s="45"/>
      <c r="J96" s="62" t="s">
        <v>667</v>
      </c>
      <c r="K96" s="45">
        <f>(te_a0*pe_a0*es_a0+te_o0*pe_o0*es_o0)/scale</f>
        <v>260.63765603800005</v>
      </c>
      <c r="L96" s="45">
        <f>(te_a*pe_a*es_a+te_o*pe_o*es_o)/scale</f>
        <v>260.63765603800005</v>
      </c>
      <c r="M96" s="62">
        <f t="shared" si="6"/>
        <v>0</v>
      </c>
      <c r="O96" s="44"/>
      <c r="P96" s="44"/>
    </row>
    <row r="97" spans="1:16">
      <c r="A97" s="67"/>
      <c r="B97" s="72" t="s">
        <v>658</v>
      </c>
      <c r="C97" s="73">
        <f>(er0*wpe_a0*es_a0+er0*wpe_o0*es_o0)/scale</f>
        <v>81165.050925482981</v>
      </c>
      <c r="D97" s="73">
        <f>(er*wpe_a*es_a+er*wpe_o*es_o)/scale</f>
        <v>81165.050925482981</v>
      </c>
      <c r="E97" s="74">
        <f t="shared" si="5"/>
        <v>0</v>
      </c>
      <c r="F97" s="44"/>
      <c r="G97" s="62"/>
      <c r="H97" s="45"/>
      <c r="J97" s="62" t="s">
        <v>669</v>
      </c>
      <c r="K97" s="45">
        <f>(tp_a0*px_a0*xp_a0+tp_o0*px_o0*xp_o0)/scale</f>
        <v>9860.4783360589681</v>
      </c>
      <c r="L97" s="45">
        <f>(tp_a*px_a*xp_a+tp_o*px_o*xp_o)/scale</f>
        <v>9860.4783360589681</v>
      </c>
      <c r="M97" s="62">
        <f t="shared" si="6"/>
        <v>0</v>
      </c>
      <c r="O97" s="44"/>
      <c r="P97" s="44"/>
    </row>
    <row r="98" spans="1:16">
      <c r="A98" s="67"/>
      <c r="B98" s="72" t="s">
        <v>659</v>
      </c>
      <c r="C98" s="73">
        <f>(er0*wpm_a0*xm_a0+er0*wpm_o0*xm_o0)/scale</f>
        <v>63493.22722511</v>
      </c>
      <c r="D98" s="73">
        <f>(er*wpm_a*xm_a+er*wpm_o*xm_o)/scale</f>
        <v>63493.22722511</v>
      </c>
      <c r="E98" s="74">
        <f t="shared" si="5"/>
        <v>0</v>
      </c>
      <c r="F98" s="44"/>
      <c r="G98" s="62"/>
      <c r="H98" s="45"/>
      <c r="J98" s="62" t="s">
        <v>668</v>
      </c>
      <c r="K98" s="45">
        <f>kappa0*yh0/scale</f>
        <v>-4220.171312429</v>
      </c>
      <c r="L98" s="45">
        <f>kappa*yh/scale</f>
        <v>-4220.171312429</v>
      </c>
      <c r="M98" s="62">
        <f t="shared" si="6"/>
        <v>0</v>
      </c>
      <c r="O98" s="44"/>
      <c r="P98" s="44"/>
    </row>
    <row r="99" spans="1:16">
      <c r="A99" s="67"/>
      <c r="B99" s="72" t="s">
        <v>660</v>
      </c>
      <c r="C99" s="73">
        <f>C94+C95+C96+C97-C98</f>
        <v>114680.73198426102</v>
      </c>
      <c r="D99" s="73">
        <f>D94+D95+D96+D97-D98</f>
        <v>114680.73198426102</v>
      </c>
      <c r="E99" s="74">
        <f t="shared" si="5"/>
        <v>0</v>
      </c>
      <c r="F99" s="44"/>
      <c r="G99" s="62"/>
      <c r="H99" s="44"/>
      <c r="J99" s="44" t="s">
        <v>652</v>
      </c>
      <c r="K99" s="45">
        <f>SUM(K94:K98)</f>
        <v>11558.224739746967</v>
      </c>
      <c r="L99" s="45">
        <f>SUM(L94:L98)</f>
        <v>11558.224739746967</v>
      </c>
      <c r="M99" s="62">
        <f t="shared" si="6"/>
        <v>1.4210854715202004E-14</v>
      </c>
      <c r="O99" s="44"/>
      <c r="P99" s="44"/>
    </row>
    <row r="100" spans="1:16">
      <c r="A100" s="67"/>
      <c r="B100" s="70"/>
      <c r="C100" s="73"/>
      <c r="D100" s="70"/>
      <c r="E100" s="71"/>
      <c r="F100" s="44"/>
      <c r="G100" s="44"/>
      <c r="H100" s="44"/>
      <c r="J100" s="44" t="s">
        <v>670</v>
      </c>
      <c r="K100" s="62">
        <f>100*kappa0</f>
        <v>-4.2669933035952585</v>
      </c>
      <c r="L100" s="62">
        <f>100*kappa</f>
        <v>-4.2669933035952585</v>
      </c>
      <c r="M100" s="62">
        <f t="shared" si="6"/>
        <v>0</v>
      </c>
      <c r="O100" s="44"/>
      <c r="P100" s="44"/>
    </row>
    <row r="101" spans="1:16">
      <c r="A101" s="67"/>
      <c r="B101" s="68" t="s">
        <v>662</v>
      </c>
      <c r="C101" s="73"/>
      <c r="D101" s="70"/>
      <c r="E101" s="71"/>
      <c r="F101" s="44"/>
      <c r="G101" s="44"/>
      <c r="H101" s="44"/>
      <c r="J101" s="44" t="s">
        <v>675</v>
      </c>
      <c r="K101" s="62">
        <f>100*(er0*wpm_a0*xm_a0*tm_a0+er0*wpm_o0*xm_o0*tm_o0)/(er0*wpm_a0*xm_a0+er0*wpm_o0*xm_o0)</f>
        <v>8.8801386573735162</v>
      </c>
      <c r="L101" s="62">
        <f>100*(er*wpm_a*xm_a*tm_a+er*wpm_o*xm_o*tm_o)/(er*wpm_a*xm_a+er*wpm_o*xm_o)</f>
        <v>8.8801386573735162</v>
      </c>
      <c r="M101" s="62">
        <f t="shared" si="6"/>
        <v>0</v>
      </c>
      <c r="O101" s="44"/>
      <c r="P101" s="44"/>
    </row>
    <row r="102" spans="1:16">
      <c r="A102" s="67"/>
      <c r="B102" s="72" t="s">
        <v>655</v>
      </c>
      <c r="C102" s="73">
        <f>(pa_a0*(1+itc_a0)*xac_a0+pa_o0*(1+itc_o0)*xac_o0)/scale</f>
        <v>62375.479099346005</v>
      </c>
      <c r="D102" s="73">
        <f>(pa_a0*(1+itc_a0)*xac_a+pa_o0*(1+itc_o0)*xac_o)/scale</f>
        <v>62375.479099346005</v>
      </c>
      <c r="E102" s="74">
        <f t="shared" ref="E102:E107" si="7">IF(C102&lt;&gt;0,100*D102/C102-100,"")</f>
        <v>0</v>
      </c>
      <c r="F102" s="44"/>
      <c r="G102" s="44"/>
      <c r="H102" s="44"/>
      <c r="J102" s="44" t="s">
        <v>676</v>
      </c>
      <c r="K102" s="62">
        <f>100*(pe_a0*es_a0*te_a0+pe_o0*es_o0*te_o0)/(pe_a0*es_a0+pe_o0*es_o0)</f>
        <v>0.32215505372984959</v>
      </c>
      <c r="L102" s="62">
        <f>100*(pe_a*es_a*te_a+pe_o*es_o*te_o)/(pe_a*es_a+pe_o*es_o)</f>
        <v>0.32215505372984959</v>
      </c>
      <c r="M102" s="62">
        <f t="shared" si="6"/>
        <v>-1.4210854715202004E-14</v>
      </c>
      <c r="O102" s="44"/>
      <c r="P102" s="44"/>
    </row>
    <row r="103" spans="1:16">
      <c r="A103" s="67"/>
      <c r="B103" s="72" t="s">
        <v>656</v>
      </c>
      <c r="C103" s="73">
        <f>(pa_a0*(1+itg_a0)*xag_a0+pa_o0*(1+itg_o0)*xag_o0)/scale</f>
        <v>11558.308319182008</v>
      </c>
      <c r="D103" s="73">
        <f>(pa_a0*(1+itg_a0)*xag_a+pa_o0*(1+itg_o0)*xag_o)/scale</f>
        <v>11558.308319182008</v>
      </c>
      <c r="E103" s="74">
        <f t="shared" si="7"/>
        <v>0</v>
      </c>
      <c r="F103" s="44"/>
      <c r="G103" s="44"/>
      <c r="H103" s="44"/>
      <c r="J103" s="44"/>
      <c r="K103" s="62"/>
      <c r="L103" s="62"/>
      <c r="M103" s="62"/>
      <c r="O103" s="44"/>
      <c r="P103" s="44"/>
    </row>
    <row r="104" spans="1:16">
      <c r="A104" s="67"/>
      <c r="B104" s="72" t="s">
        <v>657</v>
      </c>
      <c r="C104" s="73">
        <f>(pa_a0*(1+iti_a0)*xai_a0+pa_o0*(1+iti_o0)*xai_o0)/scale</f>
        <v>23075.120865360004</v>
      </c>
      <c r="D104" s="73">
        <f>(pa_a0*(1+iti_a0)*xai_a+pa_o0*(1+iti_o0)*xai_o)/scale</f>
        <v>23075.120865360004</v>
      </c>
      <c r="E104" s="74">
        <f t="shared" si="7"/>
        <v>0</v>
      </c>
      <c r="F104" s="44"/>
      <c r="G104" s="44"/>
      <c r="H104" s="44"/>
      <c r="J104" s="59" t="s">
        <v>677</v>
      </c>
      <c r="K104" s="62"/>
      <c r="L104" s="62"/>
      <c r="M104" s="62"/>
      <c r="O104" s="44"/>
      <c r="P104" s="44"/>
    </row>
    <row r="105" spans="1:16">
      <c r="A105" s="67"/>
      <c r="B105" s="72" t="s">
        <v>658</v>
      </c>
      <c r="C105" s="73">
        <f>(er0*wpe_a0*es_a0+er0*wpe_o0*es_o0)/scale</f>
        <v>81165.050925482981</v>
      </c>
      <c r="D105" s="73">
        <f>(er0*wpe_a0*es_a+er0*wpe_o0*es_o)/scale</f>
        <v>81165.050925482981</v>
      </c>
      <c r="E105" s="74">
        <f t="shared" si="7"/>
        <v>0</v>
      </c>
      <c r="F105" s="44"/>
      <c r="G105" s="44"/>
      <c r="H105" s="44"/>
      <c r="J105" s="62" t="str">
        <f>J94</f>
        <v>Indirect taxes</v>
      </c>
      <c r="K105" s="62">
        <f>100*K94/K$99</f>
        <v>0.16432838844779021</v>
      </c>
      <c r="L105" s="62">
        <f>100*L94/L$99</f>
        <v>0.16432838844779021</v>
      </c>
      <c r="M105" s="62"/>
      <c r="O105" s="44"/>
      <c r="P105" s="44"/>
    </row>
    <row r="106" spans="1:16">
      <c r="A106" s="67"/>
      <c r="B106" s="72" t="s">
        <v>659</v>
      </c>
      <c r="C106" s="73">
        <f>(er0*wpm_a0*xm_a0+er0*wpm_o0*xm_o0)/scale</f>
        <v>63493.22722511</v>
      </c>
      <c r="D106" s="73">
        <f>(er0*wpm_a0*xm_a+er0*wpm_o0*xm_o)/scale</f>
        <v>63493.22722511</v>
      </c>
      <c r="E106" s="74">
        <f t="shared" si="7"/>
        <v>0</v>
      </c>
      <c r="F106" s="44"/>
      <c r="G106" s="44"/>
      <c r="H106" s="44"/>
      <c r="J106" s="62" t="str">
        <f>J95</f>
        <v>Tariff revenue</v>
      </c>
      <c r="K106" s="62">
        <f t="shared" ref="K106:L109" si="8">100*K95/K$99</f>
        <v>48.781597023648395</v>
      </c>
      <c r="L106" s="62">
        <f t="shared" si="8"/>
        <v>48.781597023648395</v>
      </c>
      <c r="M106" s="62"/>
      <c r="O106" s="44"/>
      <c r="P106" s="44"/>
    </row>
    <row r="107" spans="1:16">
      <c r="A107" s="67"/>
      <c r="B107" s="72" t="s">
        <v>660</v>
      </c>
      <c r="C107" s="73">
        <f>C102+C103+C104+C105-C106</f>
        <v>114680.73198426102</v>
      </c>
      <c r="D107" s="73">
        <f>D102+D103+D104+D105-D106</f>
        <v>114680.73198426102</v>
      </c>
      <c r="E107" s="74">
        <f t="shared" si="7"/>
        <v>0</v>
      </c>
      <c r="F107" s="44"/>
      <c r="G107" s="44"/>
      <c r="H107" s="44"/>
      <c r="J107" s="62" t="str">
        <f>J96</f>
        <v>Export revenue</v>
      </c>
      <c r="K107" s="62">
        <f t="shared" si="8"/>
        <v>2.254997301979317</v>
      </c>
      <c r="L107" s="62">
        <f t="shared" si="8"/>
        <v>2.254997301979317</v>
      </c>
      <c r="M107" s="62"/>
      <c r="O107" s="44"/>
      <c r="P107" s="44"/>
    </row>
    <row r="108" spans="1:16">
      <c r="A108" s="67"/>
      <c r="B108" s="70"/>
      <c r="C108" s="70"/>
      <c r="D108" s="70"/>
      <c r="E108" s="71"/>
      <c r="F108" s="44"/>
      <c r="G108" s="44"/>
      <c r="H108" s="44"/>
      <c r="J108" s="62" t="str">
        <f>J97</f>
        <v>Production tax</v>
      </c>
      <c r="K108" s="62">
        <f t="shared" si="8"/>
        <v>85.311356701261317</v>
      </c>
      <c r="L108" s="62">
        <f t="shared" si="8"/>
        <v>85.311356701261317</v>
      </c>
      <c r="M108" s="62"/>
      <c r="O108" s="44"/>
      <c r="P108" s="44"/>
    </row>
    <row r="109" spans="1:16">
      <c r="A109" s="67"/>
      <c r="B109" s="68" t="s">
        <v>663</v>
      </c>
      <c r="C109" s="70"/>
      <c r="D109" s="70"/>
      <c r="E109" s="71"/>
      <c r="F109" s="44"/>
      <c r="G109" s="44"/>
      <c r="H109" s="44"/>
      <c r="J109" s="62" t="str">
        <f>J98</f>
        <v>Direct tax</v>
      </c>
      <c r="K109" s="62">
        <f t="shared" si="8"/>
        <v>-36.51227941533682</v>
      </c>
      <c r="L109" s="62">
        <f>100*L98/L$99</f>
        <v>-36.51227941533682</v>
      </c>
      <c r="M109" s="62"/>
      <c r="O109" s="44"/>
      <c r="P109" s="44"/>
    </row>
    <row r="110" spans="1:16">
      <c r="A110" s="67"/>
      <c r="B110" s="72" t="s">
        <v>655</v>
      </c>
      <c r="C110" s="75">
        <f t="shared" ref="C110:D115" si="9">100*C94/C102</f>
        <v>100</v>
      </c>
      <c r="D110" s="75">
        <f t="shared" si="9"/>
        <v>100</v>
      </c>
      <c r="E110" s="74">
        <f t="shared" ref="E110:E115" si="10">IF(C110&lt;&gt;0,100*D110/C110-100,"")</f>
        <v>0</v>
      </c>
      <c r="F110" s="44"/>
      <c r="G110" s="44"/>
      <c r="H110" s="44"/>
      <c r="J110" s="44"/>
      <c r="K110" s="62"/>
      <c r="L110" s="62"/>
      <c r="M110" s="62"/>
      <c r="O110" s="44"/>
      <c r="P110" s="44"/>
    </row>
    <row r="111" spans="1:16">
      <c r="A111" s="67"/>
      <c r="B111" s="72" t="s">
        <v>656</v>
      </c>
      <c r="C111" s="75">
        <f t="shared" si="9"/>
        <v>100</v>
      </c>
      <c r="D111" s="75">
        <f t="shared" si="9"/>
        <v>100</v>
      </c>
      <c r="E111" s="74">
        <f t="shared" si="10"/>
        <v>0</v>
      </c>
      <c r="F111" s="44"/>
      <c r="G111" s="44"/>
      <c r="H111" s="44"/>
      <c r="J111" s="59" t="s">
        <v>671</v>
      </c>
      <c r="K111" s="44"/>
      <c r="L111" s="44"/>
      <c r="M111" s="44"/>
      <c r="O111" s="44"/>
      <c r="P111" s="44"/>
    </row>
    <row r="112" spans="1:16">
      <c r="A112" s="67"/>
      <c r="B112" s="72" t="s">
        <v>657</v>
      </c>
      <c r="C112" s="75">
        <f t="shared" si="9"/>
        <v>100</v>
      </c>
      <c r="D112" s="75">
        <f t="shared" si="9"/>
        <v>100</v>
      </c>
      <c r="E112" s="74">
        <f t="shared" si="10"/>
        <v>0</v>
      </c>
      <c r="F112" s="44"/>
      <c r="G112" s="44"/>
      <c r="H112" s="44"/>
      <c r="J112" s="44" t="s">
        <v>672</v>
      </c>
      <c r="K112" s="45">
        <f>pg0*xg0/scale</f>
        <v>11558.308319182008</v>
      </c>
      <c r="L112" s="45">
        <f>pg*xg/scale</f>
        <v>11558.308319182008</v>
      </c>
      <c r="M112" s="62">
        <f>IF(K112&lt;&gt;0,100*L112/K112-100,"")</f>
        <v>0</v>
      </c>
      <c r="O112" s="44"/>
      <c r="P112" s="44"/>
    </row>
    <row r="113" spans="1:16">
      <c r="A113" s="67"/>
      <c r="B113" s="72" t="s">
        <v>658</v>
      </c>
      <c r="C113" s="75">
        <f t="shared" si="9"/>
        <v>100</v>
      </c>
      <c r="D113" s="75">
        <f t="shared" si="9"/>
        <v>100</v>
      </c>
      <c r="E113" s="74">
        <f t="shared" si="10"/>
        <v>0</v>
      </c>
      <c r="F113" s="44"/>
      <c r="G113" s="44"/>
      <c r="H113" s="44"/>
      <c r="J113" s="44" t="s">
        <v>673</v>
      </c>
      <c r="K113" s="45">
        <f>pindex0*gtrh0/scale</f>
        <v>0</v>
      </c>
      <c r="L113" s="45">
        <f>pindex*gtrh/scale</f>
        <v>0</v>
      </c>
      <c r="M113" s="62" t="str">
        <f>IF(K113&lt;&gt;0,100*L113/K113-100,"")</f>
        <v/>
      </c>
      <c r="O113" s="44"/>
      <c r="P113" s="44"/>
    </row>
    <row r="114" spans="1:16">
      <c r="A114" s="67"/>
      <c r="B114" s="72" t="s">
        <v>659</v>
      </c>
      <c r="C114" s="75">
        <f t="shared" si="9"/>
        <v>100</v>
      </c>
      <c r="D114" s="75">
        <f t="shared" si="9"/>
        <v>100</v>
      </c>
      <c r="E114" s="74">
        <f t="shared" si="10"/>
        <v>0</v>
      </c>
      <c r="F114" s="44"/>
      <c r="G114" s="44"/>
      <c r="H114" s="44"/>
      <c r="J114" s="44" t="s">
        <v>674</v>
      </c>
      <c r="K114" s="45">
        <f>savg0/scale</f>
        <v>-8.3579435038700467E-2</v>
      </c>
      <c r="L114" s="45">
        <f>savg/scale</f>
        <v>-8.3579435038700467E-2</v>
      </c>
      <c r="M114" s="62">
        <f>IF(K114&lt;&gt;0,100*L114/K114-100,"")</f>
        <v>0</v>
      </c>
      <c r="O114" s="44"/>
      <c r="P114" s="44"/>
    </row>
    <row r="115" spans="1:16" ht="13" thickBot="1">
      <c r="A115" s="76"/>
      <c r="B115" s="77" t="s">
        <v>660</v>
      </c>
      <c r="C115" s="78">
        <f t="shared" si="9"/>
        <v>100</v>
      </c>
      <c r="D115" s="78">
        <f t="shared" si="9"/>
        <v>100</v>
      </c>
      <c r="E115" s="79">
        <f t="shared" si="10"/>
        <v>0</v>
      </c>
      <c r="F115" s="44"/>
      <c r="G115" s="44"/>
      <c r="H115" s="44"/>
      <c r="J115" s="44" t="s">
        <v>652</v>
      </c>
      <c r="K115" s="45">
        <f>K112+K113+K114</f>
        <v>11558.224739746969</v>
      </c>
      <c r="L115" s="45">
        <f>L112+L113+L114</f>
        <v>11558.224739746969</v>
      </c>
      <c r="M115" s="62">
        <f>IF(K115&lt;&gt;0,100*L115/K115-100,"")</f>
        <v>-1.4210854715202004E-14</v>
      </c>
      <c r="O115" s="44"/>
      <c r="P115" s="44"/>
    </row>
    <row r="116" spans="1:16">
      <c r="A116" s="44"/>
      <c r="B116" s="44"/>
      <c r="C116" s="44"/>
      <c r="D116" s="44"/>
      <c r="E116" s="44"/>
      <c r="F116" s="44"/>
      <c r="G116" s="44"/>
      <c r="H116" s="44"/>
      <c r="J116" s="44"/>
      <c r="K116" s="44"/>
      <c r="L116" s="44"/>
      <c r="M116" s="44"/>
      <c r="O116" s="44"/>
      <c r="P116" s="44"/>
    </row>
    <row r="117" spans="1:16">
      <c r="A117" s="44"/>
      <c r="B117" s="44" t="s">
        <v>706</v>
      </c>
      <c r="C117" s="62">
        <f>((xac_a0-theta_a)^mu_a)*((xac_o0-theta_o)^mu_o)*((savh0/(CPI0/100))^mus)</f>
        <v>41229.445224102805</v>
      </c>
      <c r="D117" s="62">
        <f>((xac_a-theta_a)^mu_a)*((xac_o-theta_o)^mu_o)*((savh/(CPI/100))^mus)</f>
        <v>41229.445224102805</v>
      </c>
      <c r="E117" s="62">
        <f>100*D117/C117-100</f>
        <v>0</v>
      </c>
      <c r="F117" s="44"/>
      <c r="G117" s="44"/>
      <c r="H117" s="44"/>
      <c r="J117" s="44"/>
      <c r="K117" s="83"/>
      <c r="L117" s="83"/>
      <c r="M117" s="44"/>
      <c r="O117" s="44"/>
      <c r="P117" s="44"/>
    </row>
    <row r="118" spans="1:16">
      <c r="A118" s="44"/>
      <c r="B118" s="44" t="s">
        <v>707</v>
      </c>
      <c r="C118" s="82">
        <f>((1+itc_a0)*pa_a0*theta_a)+((1+itc_o0)*pa_o0*theta_o)+C117*(((1+itc_a0)*pa_a0/mu_a)^mu_a)*(((1+itc_o0)*pa_o0/mu_o)^mu_o)*(((CPI0/100)/mus)^mus)</f>
        <v>87832.668599345998</v>
      </c>
      <c r="D118" s="82">
        <f>((1+itc_a0)*pa_a0*theta_a)+((1+itc_o0)*pa_o0*theta_o)+D117*(((1+itc_a0)*pa_a0/mu_a)^mu_a)*(((1+itc_o0)*pa_o0/mu_o)^mu_o)*(((CPI0/100)/mus)^mus)</f>
        <v>87832.668599345998</v>
      </c>
      <c r="E118" s="62">
        <f>100*(D118-C118)/yd0</f>
        <v>0</v>
      </c>
      <c r="F118" s="44"/>
      <c r="G118" s="44"/>
      <c r="H118" s="44"/>
      <c r="J118" s="44"/>
      <c r="K118" s="44"/>
      <c r="L118" s="44"/>
      <c r="M118" s="44"/>
      <c r="O118" s="44"/>
      <c r="P118" s="44"/>
    </row>
    <row r="119" spans="1:16">
      <c r="A119" s="44"/>
      <c r="B119" s="44" t="s">
        <v>708</v>
      </c>
      <c r="C119" s="82">
        <f>((1+itc_a)*pa_a*theta_a)+((1+itc_o)*pa_o*theta_o)+C117*(((1+itc_a)*pa_a/mu_a)^mu_a)*(((1+itc_o)*pa_o/mu_o)^mu_o)*(((CPI/100)/mus)^mus)</f>
        <v>87832.668599345998</v>
      </c>
      <c r="D119" s="82">
        <f>((1+itc_a)*pa_a*theta_a)+((1+itc_o)*pa_o*theta_o)+D117*(((1+itc_a)*pa_a/mu_a)^mu_a)*(((1+itc_o)*pa_o/mu_o)^mu_o)*(((CPI/100)/mus)^mus)</f>
        <v>87832.668599345998</v>
      </c>
      <c r="E119" s="62">
        <f>100*(D119-C119)/yd0</f>
        <v>0</v>
      </c>
      <c r="F119" s="44"/>
      <c r="G119" s="44"/>
      <c r="H119" s="44"/>
      <c r="J119" s="44"/>
      <c r="K119" s="44"/>
      <c r="L119" s="44"/>
      <c r="M119" s="44"/>
      <c r="O119" s="44"/>
      <c r="P119" s="44"/>
    </row>
    <row r="120" spans="1:16">
      <c r="A120" s="44"/>
      <c r="B120" s="44"/>
      <c r="C120" s="87"/>
      <c r="D120" s="88"/>
      <c r="E120" s="44"/>
      <c r="F120" s="44"/>
      <c r="G120" s="44"/>
      <c r="H120" s="44"/>
      <c r="J120" s="44"/>
      <c r="K120" s="44"/>
      <c r="L120" s="44"/>
      <c r="M120" s="44"/>
      <c r="O120" s="44"/>
      <c r="P120" s="44"/>
    </row>
    <row r="121" spans="1:16">
      <c r="A121" s="44"/>
      <c r="B121" s="44" t="s">
        <v>812</v>
      </c>
      <c r="C121" s="103">
        <f>1227.176704</f>
        <v>1227.176704</v>
      </c>
      <c r="D121" s="103">
        <f>C121</f>
        <v>1227.176704</v>
      </c>
      <c r="E121" s="62">
        <f>IF(C121&lt;&gt;0,100*D121/C121-100,"")</f>
        <v>0</v>
      </c>
      <c r="F121" s="44"/>
      <c r="G121" s="44"/>
      <c r="H121" s="44"/>
      <c r="J121" s="44"/>
      <c r="K121" s="44"/>
      <c r="L121" s="44"/>
      <c r="M121" s="44"/>
      <c r="O121" s="44"/>
      <c r="P121" s="44"/>
    </row>
    <row r="122" spans="1:16">
      <c r="A122" s="44"/>
      <c r="B122" s="44" t="s">
        <v>810</v>
      </c>
      <c r="C122" s="89">
        <v>4.0769100600000003</v>
      </c>
      <c r="D122" s="83">
        <f>C122</f>
        <v>4.0769100600000003</v>
      </c>
      <c r="E122" s="62">
        <f>IF(C122&lt;&gt;0,100*D122/C122-100,"")</f>
        <v>0</v>
      </c>
      <c r="F122" s="44"/>
      <c r="G122" s="44"/>
      <c r="H122" s="44"/>
      <c r="J122" s="44"/>
      <c r="K122" s="44"/>
      <c r="L122" s="44"/>
      <c r="M122" s="44"/>
      <c r="O122" s="44"/>
      <c r="P122" s="44"/>
    </row>
    <row r="123" spans="1:16">
      <c r="A123" s="44"/>
      <c r="B123" s="44" t="s">
        <v>813</v>
      </c>
      <c r="C123" s="45">
        <f>C107/C121</f>
        <v>93.450871101494627</v>
      </c>
      <c r="D123" s="45">
        <f>D107/D121</f>
        <v>93.450871101494627</v>
      </c>
      <c r="E123" s="62">
        <f>IF(C123&lt;&gt;0,100*D123/C123-100,"")</f>
        <v>0</v>
      </c>
      <c r="F123" s="44"/>
      <c r="G123" s="44"/>
      <c r="H123" s="44"/>
      <c r="J123" s="44"/>
      <c r="K123" s="44"/>
      <c r="L123" s="44"/>
      <c r="M123" s="44"/>
      <c r="O123" s="44"/>
      <c r="P123" s="44"/>
    </row>
    <row r="124" spans="1:16">
      <c r="A124" s="44"/>
      <c r="B124" s="44" t="s">
        <v>814</v>
      </c>
      <c r="C124" s="45">
        <f>C123*C122</f>
        <v>380.99079650944674</v>
      </c>
      <c r="D124" s="45">
        <f>D123*D122</f>
        <v>380.99079650944674</v>
      </c>
      <c r="E124" s="62">
        <f>IF(C124&lt;&gt;0,100*D124/C124-100,"")</f>
        <v>0</v>
      </c>
      <c r="F124" s="44"/>
      <c r="G124" s="44"/>
      <c r="H124" s="44"/>
      <c r="J124" s="44"/>
      <c r="K124" s="44"/>
      <c r="L124" s="44"/>
      <c r="M124" s="44"/>
      <c r="O124" s="44"/>
      <c r="P124" s="44"/>
    </row>
    <row r="125" spans="1:16">
      <c r="A125" s="44"/>
      <c r="B125" s="44"/>
      <c r="C125" s="44"/>
      <c r="D125" s="44"/>
      <c r="E125" s="44"/>
      <c r="F125" s="44"/>
      <c r="G125" s="44"/>
      <c r="H125" s="44"/>
      <c r="J125" s="44"/>
      <c r="K125" s="44"/>
      <c r="L125" s="44"/>
      <c r="M125" s="44"/>
      <c r="O125" s="44"/>
      <c r="P125" s="44"/>
    </row>
    <row r="126" spans="1:16">
      <c r="A126" s="44"/>
      <c r="B126" s="44"/>
      <c r="C126" s="44"/>
      <c r="D126" s="44"/>
      <c r="E126" s="44"/>
      <c r="F126" s="44"/>
      <c r="G126" s="44"/>
      <c r="H126" s="44"/>
      <c r="J126" s="44"/>
      <c r="K126" s="44"/>
      <c r="L126" s="44"/>
      <c r="M126" s="44"/>
      <c r="O126" s="44"/>
      <c r="P126" s="44"/>
    </row>
    <row r="127" spans="1:16">
      <c r="A127" s="44"/>
      <c r="B127" s="44"/>
      <c r="C127" s="44"/>
      <c r="D127" s="44"/>
      <c r="E127" s="44"/>
      <c r="F127" s="44"/>
      <c r="G127" s="44"/>
      <c r="H127" s="44"/>
      <c r="J127" s="44"/>
      <c r="K127" s="44"/>
      <c r="L127" s="44"/>
      <c r="M127" s="44"/>
      <c r="O127" s="44"/>
      <c r="P127" s="44"/>
    </row>
    <row r="128" spans="1:16">
      <c r="A128" s="44"/>
      <c r="B128" s="44"/>
      <c r="C128" s="44"/>
      <c r="D128" s="44"/>
      <c r="E128" s="44"/>
      <c r="F128" s="44"/>
      <c r="G128" s="44"/>
      <c r="H128" s="44"/>
      <c r="J128" s="44"/>
      <c r="K128" s="44"/>
      <c r="L128" s="44"/>
      <c r="M128" s="44"/>
      <c r="O128" s="44"/>
      <c r="P128" s="44"/>
    </row>
    <row r="129" spans="1:16">
      <c r="A129" s="44"/>
      <c r="B129" s="44"/>
      <c r="C129" s="44"/>
      <c r="D129" s="44"/>
      <c r="E129" s="44"/>
      <c r="F129" s="44"/>
      <c r="G129" s="44"/>
      <c r="H129" s="44"/>
      <c r="J129" s="44"/>
      <c r="K129" s="44"/>
      <c r="L129" s="44"/>
      <c r="M129" s="44"/>
      <c r="O129" s="44"/>
      <c r="P129" s="44"/>
    </row>
    <row r="130" spans="1:16">
      <c r="A130" s="44"/>
      <c r="B130" s="44"/>
      <c r="C130" s="44"/>
      <c r="D130" s="44"/>
      <c r="E130" s="44"/>
      <c r="F130" s="44"/>
      <c r="G130" s="44"/>
      <c r="H130" s="44"/>
      <c r="J130" s="44"/>
      <c r="K130" s="44"/>
      <c r="L130" s="44"/>
      <c r="M130" s="44"/>
      <c r="O130" s="44"/>
      <c r="P130" s="44"/>
    </row>
    <row r="131" spans="1:16">
      <c r="A131" s="44"/>
      <c r="B131" s="44"/>
      <c r="C131" s="44"/>
      <c r="D131" s="44"/>
      <c r="E131" s="44"/>
      <c r="F131" s="44"/>
      <c r="G131" s="44"/>
      <c r="H131" s="44"/>
      <c r="J131" s="44"/>
      <c r="K131" s="44"/>
      <c r="L131" s="44"/>
      <c r="M131" s="44"/>
      <c r="O131" s="44"/>
      <c r="P131" s="44"/>
    </row>
    <row r="132" spans="1:16">
      <c r="A132" s="44"/>
      <c r="B132" s="44"/>
      <c r="C132" s="44"/>
      <c r="D132" s="44"/>
      <c r="E132" s="44"/>
      <c r="F132" s="44"/>
      <c r="G132" s="44"/>
      <c r="H132" s="44"/>
      <c r="J132" s="44"/>
      <c r="K132" s="44"/>
      <c r="L132" s="44"/>
      <c r="M132" s="44"/>
      <c r="O132" s="44"/>
      <c r="P132" s="44"/>
    </row>
    <row r="133" spans="1:16">
      <c r="A133" s="44"/>
      <c r="B133" s="44"/>
      <c r="C133" s="44"/>
      <c r="D133" s="44"/>
      <c r="E133" s="44"/>
      <c r="F133" s="44"/>
      <c r="G133" s="44"/>
      <c r="H133" s="44"/>
      <c r="J133" s="44"/>
      <c r="K133" s="44"/>
      <c r="L133" s="44"/>
      <c r="M133" s="44"/>
      <c r="O133" s="44"/>
      <c r="P133" s="44"/>
    </row>
    <row r="134" spans="1:16">
      <c r="A134" s="44"/>
      <c r="B134" s="44"/>
      <c r="C134" s="44"/>
      <c r="D134" s="44"/>
      <c r="E134" s="44"/>
      <c r="F134" s="44"/>
      <c r="G134" s="44"/>
      <c r="H134" s="44"/>
      <c r="J134" s="44"/>
      <c r="K134" s="44"/>
      <c r="L134" s="44"/>
      <c r="M134" s="44"/>
      <c r="O134" s="44"/>
      <c r="P134" s="44"/>
    </row>
    <row r="135" spans="1:16">
      <c r="A135" s="44"/>
      <c r="B135" s="44"/>
      <c r="C135" s="44"/>
      <c r="D135" s="44"/>
      <c r="E135" s="44"/>
      <c r="F135" s="44"/>
      <c r="G135" s="44"/>
      <c r="H135" s="44"/>
      <c r="J135" s="44"/>
      <c r="K135" s="44"/>
      <c r="L135" s="44"/>
      <c r="M135" s="44"/>
      <c r="O135" s="44"/>
      <c r="P135" s="44"/>
    </row>
    <row r="136" spans="1:16">
      <c r="A136" s="44"/>
      <c r="B136" s="44"/>
      <c r="C136" s="44"/>
      <c r="D136" s="44"/>
      <c r="E136" s="44"/>
      <c r="F136" s="44"/>
      <c r="G136" s="44"/>
      <c r="H136" s="44"/>
      <c r="J136" s="44"/>
      <c r="K136" s="44"/>
      <c r="L136" s="44"/>
      <c r="M136" s="44"/>
      <c r="O136" s="44"/>
      <c r="P136" s="44"/>
    </row>
    <row r="137" spans="1:16">
      <c r="A137" s="44"/>
      <c r="B137" s="44"/>
      <c r="C137" s="44"/>
      <c r="D137" s="44"/>
      <c r="E137" s="44"/>
      <c r="F137" s="44"/>
      <c r="G137" s="44"/>
      <c r="H137" s="44"/>
      <c r="J137" s="44"/>
      <c r="K137" s="44"/>
      <c r="L137" s="44"/>
      <c r="M137" s="44"/>
      <c r="O137" s="44"/>
      <c r="P137" s="44"/>
    </row>
    <row r="138" spans="1:16">
      <c r="A138" s="44"/>
      <c r="B138" s="44"/>
      <c r="C138" s="44"/>
      <c r="D138" s="44"/>
      <c r="E138" s="44"/>
      <c r="F138" s="44"/>
      <c r="G138" s="44"/>
      <c r="H138" s="44"/>
      <c r="J138" s="44"/>
      <c r="K138" s="44"/>
      <c r="L138" s="44"/>
      <c r="M138" s="44"/>
      <c r="O138" s="44"/>
      <c r="P138" s="44"/>
    </row>
    <row r="139" spans="1:16">
      <c r="A139" s="44"/>
      <c r="B139" s="44"/>
      <c r="C139" s="44"/>
      <c r="D139" s="44"/>
      <c r="E139" s="44"/>
      <c r="F139" s="44"/>
      <c r="G139" s="44"/>
      <c r="H139" s="44"/>
      <c r="J139" s="44"/>
      <c r="K139" s="44"/>
      <c r="L139" s="44"/>
      <c r="M139" s="44"/>
      <c r="O139" s="44"/>
      <c r="P139" s="44"/>
    </row>
    <row r="140" spans="1:16">
      <c r="A140" s="44"/>
      <c r="B140" s="44"/>
      <c r="C140" s="44"/>
      <c r="D140" s="44"/>
      <c r="E140" s="44"/>
      <c r="F140" s="44"/>
      <c r="G140" s="44"/>
      <c r="H140" s="44"/>
      <c r="J140" s="44"/>
      <c r="K140" s="44"/>
      <c r="L140" s="44"/>
      <c r="M140" s="44"/>
      <c r="O140" s="44"/>
      <c r="P140" s="44"/>
    </row>
    <row r="141" spans="1:16">
      <c r="A141" s="44"/>
      <c r="B141" s="44"/>
      <c r="C141" s="44"/>
      <c r="D141" s="44"/>
      <c r="E141" s="44"/>
      <c r="F141" s="44"/>
      <c r="G141" s="44"/>
      <c r="H141" s="44"/>
      <c r="J141" s="44"/>
      <c r="K141" s="44"/>
      <c r="L141" s="44"/>
      <c r="M141" s="44"/>
      <c r="O141" s="44"/>
      <c r="P141" s="44"/>
    </row>
    <row r="142" spans="1:16">
      <c r="A142" s="44"/>
      <c r="B142" s="44"/>
      <c r="C142" s="44"/>
      <c r="D142" s="44"/>
      <c r="E142" s="44"/>
      <c r="F142" s="44"/>
      <c r="G142" s="44"/>
      <c r="H142" s="44"/>
      <c r="J142" s="44"/>
      <c r="K142" s="44"/>
      <c r="L142" s="44"/>
      <c r="M142" s="44"/>
      <c r="O142" s="44"/>
      <c r="P142" s="44"/>
    </row>
    <row r="143" spans="1:16">
      <c r="A143" s="44"/>
      <c r="B143" s="44"/>
      <c r="C143" s="44"/>
      <c r="D143" s="44"/>
      <c r="E143" s="44"/>
      <c r="F143" s="44"/>
      <c r="G143" s="44"/>
      <c r="H143" s="44"/>
      <c r="J143" s="44"/>
      <c r="K143" s="44"/>
      <c r="L143" s="44"/>
      <c r="M143" s="44"/>
      <c r="O143" s="44"/>
      <c r="P143" s="44"/>
    </row>
    <row r="144" spans="1:16">
      <c r="A144" s="44"/>
      <c r="B144" s="44"/>
      <c r="C144" s="44"/>
      <c r="D144" s="44"/>
      <c r="E144" s="44"/>
      <c r="F144" s="44"/>
      <c r="G144" s="44"/>
      <c r="H144" s="44"/>
      <c r="J144" s="44"/>
      <c r="K144" s="44"/>
      <c r="L144" s="44"/>
      <c r="M144" s="44"/>
      <c r="O144" s="44"/>
      <c r="P144" s="44"/>
    </row>
    <row r="145" spans="1:16">
      <c r="A145" s="44"/>
      <c r="B145" s="44"/>
      <c r="C145" s="44"/>
      <c r="D145" s="44"/>
      <c r="E145" s="44"/>
      <c r="F145" s="44"/>
      <c r="G145" s="44"/>
      <c r="H145" s="44"/>
      <c r="J145" s="44"/>
      <c r="K145" s="44"/>
      <c r="L145" s="44"/>
      <c r="M145" s="44"/>
      <c r="O145" s="44"/>
      <c r="P145" s="44"/>
    </row>
    <row r="146" spans="1:16">
      <c r="A146" s="44"/>
      <c r="B146" s="44"/>
      <c r="C146" s="44"/>
      <c r="D146" s="44"/>
      <c r="E146" s="44"/>
      <c r="F146" s="44"/>
      <c r="G146" s="44"/>
      <c r="H146" s="44"/>
      <c r="J146" s="44"/>
      <c r="K146" s="44"/>
      <c r="L146" s="44"/>
      <c r="M146" s="44"/>
      <c r="O146" s="44"/>
      <c r="P146" s="44"/>
    </row>
    <row r="147" spans="1:16">
      <c r="A147" s="44"/>
      <c r="B147" s="44"/>
      <c r="C147" s="44"/>
      <c r="D147" s="44"/>
      <c r="E147" s="44"/>
      <c r="F147" s="44"/>
      <c r="G147" s="44"/>
      <c r="H147" s="44"/>
      <c r="J147" s="44"/>
      <c r="K147" s="44"/>
      <c r="L147" s="44"/>
      <c r="M147" s="44"/>
      <c r="O147" s="44"/>
      <c r="P147" s="44"/>
    </row>
    <row r="148" spans="1:16">
      <c r="A148" s="44"/>
      <c r="B148" s="44"/>
      <c r="C148" s="44"/>
      <c r="D148" s="44"/>
      <c r="E148" s="44"/>
      <c r="F148" s="44"/>
      <c r="G148" s="44"/>
      <c r="H148" s="44"/>
      <c r="J148" s="44"/>
      <c r="K148" s="44"/>
      <c r="L148" s="44"/>
      <c r="M148" s="44"/>
      <c r="O148" s="44"/>
      <c r="P148" s="44"/>
    </row>
    <row r="149" spans="1:16">
      <c r="A149" s="44"/>
      <c r="B149" s="44"/>
      <c r="C149" s="44"/>
      <c r="D149" s="44"/>
      <c r="E149" s="44"/>
      <c r="F149" s="44"/>
      <c r="G149" s="44"/>
      <c r="H149" s="44"/>
      <c r="J149" s="44"/>
      <c r="K149" s="44"/>
      <c r="L149" s="44"/>
      <c r="M149" s="44"/>
      <c r="O149" s="44"/>
      <c r="P149" s="44"/>
    </row>
    <row r="150" spans="1:16">
      <c r="A150" s="44"/>
      <c r="B150" s="44"/>
      <c r="C150" s="44"/>
      <c r="D150" s="44"/>
      <c r="E150" s="44"/>
      <c r="F150" s="44"/>
      <c r="G150" s="44"/>
      <c r="H150" s="44"/>
      <c r="J150" s="44"/>
      <c r="K150" s="44"/>
      <c r="L150" s="44"/>
      <c r="M150" s="44"/>
      <c r="O150" s="44"/>
      <c r="P150" s="44"/>
    </row>
    <row r="151" spans="1:16">
      <c r="A151" s="44"/>
      <c r="B151" s="44"/>
      <c r="C151" s="44"/>
      <c r="D151" s="44"/>
      <c r="E151" s="44"/>
      <c r="F151" s="44"/>
      <c r="G151" s="44"/>
      <c r="H151" s="44"/>
      <c r="J151" s="44"/>
      <c r="K151" s="44"/>
      <c r="L151" s="44"/>
      <c r="M151" s="44"/>
      <c r="O151" s="44"/>
      <c r="P151" s="44"/>
    </row>
    <row r="152" spans="1:16">
      <c r="A152" s="44"/>
      <c r="B152" s="44"/>
      <c r="C152" s="44"/>
      <c r="D152" s="44"/>
      <c r="E152" s="44"/>
      <c r="F152" s="44"/>
      <c r="G152" s="44"/>
      <c r="H152" s="44"/>
      <c r="J152" s="44"/>
      <c r="K152" s="44"/>
      <c r="L152" s="44"/>
      <c r="M152" s="44"/>
      <c r="O152" s="44"/>
      <c r="P152" s="44"/>
    </row>
    <row r="153" spans="1:16">
      <c r="A153" s="44"/>
      <c r="B153" s="44"/>
      <c r="C153" s="44"/>
      <c r="D153" s="44"/>
      <c r="E153" s="44"/>
      <c r="F153" s="44"/>
      <c r="G153" s="44"/>
      <c r="H153" s="44"/>
      <c r="J153" s="44"/>
      <c r="K153" s="44"/>
      <c r="L153" s="44"/>
      <c r="M153" s="44"/>
      <c r="O153" s="44"/>
      <c r="P153" s="44"/>
    </row>
    <row r="154" spans="1:16">
      <c r="A154" s="44"/>
      <c r="B154" s="44"/>
      <c r="C154" s="44"/>
      <c r="D154" s="44"/>
      <c r="E154" s="44"/>
      <c r="F154" s="44"/>
      <c r="G154" s="44"/>
      <c r="H154" s="44"/>
      <c r="J154" s="44"/>
      <c r="K154" s="44"/>
      <c r="L154" s="44"/>
      <c r="M154" s="44"/>
      <c r="O154" s="44"/>
      <c r="P154" s="44"/>
    </row>
    <row r="155" spans="1:16">
      <c r="A155" s="44"/>
      <c r="B155" s="44"/>
      <c r="C155" s="44"/>
      <c r="D155" s="44"/>
      <c r="E155" s="44"/>
      <c r="F155" s="44"/>
      <c r="G155" s="44"/>
      <c r="H155" s="44"/>
      <c r="J155" s="44"/>
      <c r="K155" s="44"/>
      <c r="L155" s="44"/>
      <c r="M155" s="44"/>
      <c r="O155" s="44"/>
      <c r="P155" s="44"/>
    </row>
    <row r="156" spans="1:16">
      <c r="A156" s="44"/>
      <c r="B156" s="44"/>
      <c r="C156" s="44"/>
      <c r="D156" s="44"/>
      <c r="E156" s="44"/>
      <c r="F156" s="44"/>
      <c r="G156" s="44"/>
      <c r="H156" s="44"/>
      <c r="J156" s="44"/>
      <c r="K156" s="44"/>
      <c r="L156" s="44"/>
      <c r="M156" s="44"/>
      <c r="O156" s="44"/>
      <c r="P156" s="44"/>
    </row>
    <row r="157" spans="1:16">
      <c r="A157" s="44"/>
      <c r="B157" s="44"/>
      <c r="C157" s="44"/>
      <c r="D157" s="44"/>
      <c r="E157" s="44"/>
      <c r="F157" s="44"/>
      <c r="G157" s="44"/>
      <c r="H157" s="44"/>
      <c r="J157" s="44"/>
      <c r="K157" s="44"/>
      <c r="L157" s="44"/>
      <c r="M157" s="44"/>
      <c r="O157" s="44"/>
      <c r="P157" s="44"/>
    </row>
    <row r="158" spans="1:16">
      <c r="A158" s="44"/>
      <c r="B158" s="44"/>
      <c r="C158" s="44"/>
      <c r="D158" s="44"/>
      <c r="E158" s="44"/>
      <c r="F158" s="44"/>
      <c r="G158" s="44"/>
      <c r="H158" s="44"/>
      <c r="J158" s="44"/>
      <c r="K158" s="44"/>
      <c r="L158" s="44"/>
      <c r="M158" s="44"/>
      <c r="O158" s="44"/>
      <c r="P158" s="44"/>
    </row>
    <row r="159" spans="1:16">
      <c r="A159" s="44"/>
      <c r="B159" s="44"/>
      <c r="C159" s="44"/>
      <c r="D159" s="44"/>
      <c r="E159" s="44"/>
      <c r="F159" s="44"/>
      <c r="G159" s="44"/>
      <c r="H159" s="44"/>
      <c r="J159" s="44"/>
      <c r="K159" s="44"/>
      <c r="L159" s="44"/>
      <c r="M159" s="44"/>
      <c r="O159" s="44"/>
      <c r="P159" s="44"/>
    </row>
    <row r="160" spans="1:16">
      <c r="A160" s="44"/>
      <c r="B160" s="44"/>
      <c r="C160" s="44"/>
      <c r="D160" s="44"/>
      <c r="E160" s="44"/>
      <c r="F160" s="44"/>
      <c r="G160" s="44"/>
      <c r="H160" s="44"/>
      <c r="J160" s="44"/>
      <c r="K160" s="44"/>
      <c r="L160" s="44"/>
      <c r="M160" s="44"/>
      <c r="O160" s="44"/>
      <c r="P160" s="44"/>
    </row>
    <row r="161" spans="1:16">
      <c r="A161" s="44"/>
      <c r="B161" s="44"/>
      <c r="C161" s="44"/>
      <c r="D161" s="44"/>
      <c r="E161" s="44"/>
      <c r="F161" s="44"/>
      <c r="G161" s="44"/>
      <c r="H161" s="44"/>
      <c r="J161" s="44"/>
      <c r="K161" s="44"/>
      <c r="L161" s="44"/>
      <c r="M161" s="44"/>
      <c r="O161" s="44"/>
      <c r="P161" s="44"/>
    </row>
    <row r="162" spans="1:16">
      <c r="A162" s="44"/>
      <c r="B162" s="44"/>
      <c r="C162" s="44"/>
      <c r="D162" s="44"/>
      <c r="E162" s="44"/>
      <c r="F162" s="44"/>
      <c r="G162" s="44"/>
      <c r="H162" s="44"/>
      <c r="J162" s="44"/>
      <c r="K162" s="44"/>
      <c r="L162" s="44"/>
      <c r="M162" s="44"/>
      <c r="O162" s="44"/>
      <c r="P162" s="44"/>
    </row>
    <row r="163" spans="1:16">
      <c r="A163" s="44"/>
      <c r="B163" s="44"/>
      <c r="C163" s="44"/>
      <c r="D163" s="44"/>
      <c r="E163" s="44"/>
      <c r="F163" s="44"/>
      <c r="G163" s="44"/>
      <c r="H163" s="44"/>
      <c r="J163" s="44"/>
      <c r="K163" s="44"/>
      <c r="L163" s="44"/>
      <c r="M163" s="44"/>
      <c r="O163" s="44"/>
      <c r="P163" s="44"/>
    </row>
    <row r="164" spans="1:16">
      <c r="A164" s="44"/>
      <c r="B164" s="44"/>
      <c r="C164" s="44"/>
      <c r="D164" s="44"/>
      <c r="E164" s="44"/>
      <c r="F164" s="44"/>
      <c r="G164" s="44"/>
      <c r="H164" s="44"/>
      <c r="J164" s="44"/>
      <c r="K164" s="44"/>
      <c r="L164" s="44"/>
      <c r="M164" s="44"/>
      <c r="O164" s="44"/>
      <c r="P164" s="44"/>
    </row>
    <row r="165" spans="1:16">
      <c r="A165" s="44"/>
      <c r="B165" s="44"/>
      <c r="C165" s="44"/>
      <c r="D165" s="44"/>
      <c r="E165" s="44"/>
      <c r="F165" s="44"/>
      <c r="G165" s="44"/>
      <c r="H165" s="44"/>
      <c r="J165" s="44"/>
      <c r="K165" s="44"/>
      <c r="L165" s="44"/>
      <c r="M165" s="44"/>
      <c r="O165" s="44"/>
      <c r="P165" s="44"/>
    </row>
    <row r="166" spans="1:16">
      <c r="A166" s="44"/>
      <c r="B166" s="44"/>
      <c r="C166" s="44"/>
      <c r="D166" s="44"/>
      <c r="E166" s="44"/>
      <c r="F166" s="44"/>
      <c r="G166" s="44"/>
      <c r="H166" s="44"/>
      <c r="J166" s="44"/>
      <c r="K166" s="44"/>
      <c r="L166" s="44"/>
      <c r="M166" s="44"/>
      <c r="O166" s="44"/>
      <c r="P166" s="44"/>
    </row>
    <row r="167" spans="1:16">
      <c r="A167" s="44"/>
      <c r="B167" s="44"/>
      <c r="C167" s="44"/>
      <c r="D167" s="44"/>
      <c r="E167" s="44"/>
      <c r="F167" s="44"/>
      <c r="G167" s="44"/>
      <c r="H167" s="44"/>
      <c r="J167" s="44"/>
      <c r="K167" s="44"/>
      <c r="L167" s="44"/>
      <c r="M167" s="44"/>
      <c r="O167" s="44"/>
      <c r="P167" s="44"/>
    </row>
    <row r="168" spans="1:16">
      <c r="A168" s="44"/>
      <c r="B168" s="44"/>
      <c r="C168" s="44"/>
      <c r="D168" s="44"/>
      <c r="E168" s="44"/>
      <c r="F168" s="44"/>
      <c r="G168" s="44"/>
      <c r="H168" s="44"/>
      <c r="J168" s="44"/>
      <c r="K168" s="44"/>
      <c r="L168" s="44"/>
      <c r="M168" s="44"/>
      <c r="O168" s="44"/>
      <c r="P168" s="44"/>
    </row>
    <row r="169" spans="1:16">
      <c r="A169" s="44"/>
      <c r="B169" s="44"/>
      <c r="C169" s="44"/>
      <c r="D169" s="44"/>
      <c r="E169" s="44"/>
      <c r="F169" s="44"/>
      <c r="G169" s="44"/>
      <c r="H169" s="44"/>
      <c r="J169" s="44"/>
      <c r="K169" s="44"/>
      <c r="L169" s="44"/>
      <c r="M169" s="44"/>
      <c r="O169" s="44"/>
      <c r="P169" s="44"/>
    </row>
    <row r="170" spans="1:16">
      <c r="A170" s="44"/>
      <c r="B170" s="44"/>
      <c r="C170" s="44"/>
      <c r="D170" s="44"/>
      <c r="E170" s="44"/>
      <c r="F170" s="44"/>
      <c r="G170" s="44"/>
      <c r="H170" s="44"/>
      <c r="J170" s="44"/>
      <c r="K170" s="44"/>
      <c r="L170" s="44"/>
      <c r="M170" s="44"/>
      <c r="O170" s="44"/>
      <c r="P170" s="44"/>
    </row>
    <row r="171" spans="1:16">
      <c r="A171" s="44"/>
      <c r="B171" s="44"/>
      <c r="C171" s="44"/>
      <c r="D171" s="44"/>
      <c r="E171" s="44"/>
      <c r="F171" s="44"/>
      <c r="G171" s="44"/>
      <c r="H171" s="44"/>
      <c r="J171" s="44"/>
      <c r="K171" s="44"/>
      <c r="L171" s="44"/>
      <c r="M171" s="44"/>
      <c r="O171" s="44"/>
      <c r="P171" s="44"/>
    </row>
    <row r="172" spans="1:16">
      <c r="A172" s="44"/>
      <c r="B172" s="44"/>
      <c r="C172" s="44"/>
      <c r="D172" s="44"/>
      <c r="E172" s="44"/>
      <c r="F172" s="44"/>
      <c r="G172" s="44"/>
      <c r="H172" s="44"/>
      <c r="J172" s="44"/>
      <c r="K172" s="44"/>
      <c r="L172" s="44"/>
      <c r="M172" s="44"/>
      <c r="O172" s="44"/>
      <c r="P172" s="44"/>
    </row>
    <row r="173" spans="1:16">
      <c r="A173" s="44"/>
      <c r="B173" s="44"/>
      <c r="C173" s="44"/>
      <c r="D173" s="44"/>
      <c r="E173" s="44"/>
      <c r="F173" s="44"/>
      <c r="G173" s="44"/>
      <c r="H173" s="44"/>
      <c r="J173" s="44"/>
      <c r="K173" s="44"/>
      <c r="L173" s="44"/>
      <c r="M173" s="44"/>
      <c r="O173" s="44"/>
      <c r="P173" s="44"/>
    </row>
    <row r="174" spans="1:16">
      <c r="A174" s="44"/>
      <c r="B174" s="44"/>
      <c r="C174" s="44"/>
      <c r="D174" s="44"/>
      <c r="E174" s="44"/>
      <c r="F174" s="44"/>
      <c r="G174" s="44"/>
      <c r="H174" s="44"/>
      <c r="J174" s="44"/>
      <c r="K174" s="44"/>
      <c r="L174" s="44"/>
      <c r="M174" s="44"/>
      <c r="O174" s="44"/>
      <c r="P174" s="44"/>
    </row>
    <row r="175" spans="1:16">
      <c r="A175" s="44"/>
      <c r="B175" s="44"/>
      <c r="C175" s="44"/>
      <c r="D175" s="44"/>
      <c r="E175" s="44"/>
      <c r="F175" s="44"/>
      <c r="G175" s="44"/>
      <c r="H175" s="44"/>
      <c r="J175" s="44"/>
      <c r="K175" s="44"/>
      <c r="L175" s="44"/>
      <c r="M175" s="44"/>
      <c r="O175" s="44"/>
      <c r="P175" s="44"/>
    </row>
    <row r="176" spans="1:16">
      <c r="A176" s="44"/>
      <c r="B176" s="44"/>
      <c r="C176" s="44"/>
      <c r="D176" s="44"/>
      <c r="E176" s="44"/>
      <c r="F176" s="44"/>
      <c r="G176" s="44"/>
      <c r="H176" s="44"/>
      <c r="J176" s="44"/>
      <c r="K176" s="44"/>
      <c r="L176" s="44"/>
      <c r="M176" s="44"/>
      <c r="O176" s="44"/>
      <c r="P176" s="44"/>
    </row>
    <row r="177" spans="1:16">
      <c r="A177" s="44"/>
      <c r="B177" s="44"/>
      <c r="C177" s="44"/>
      <c r="D177" s="44"/>
      <c r="E177" s="44"/>
      <c r="F177" s="44"/>
      <c r="G177" s="44"/>
      <c r="H177" s="44"/>
      <c r="J177" s="44"/>
      <c r="K177" s="44"/>
      <c r="L177" s="44"/>
      <c r="M177" s="44"/>
      <c r="O177" s="44"/>
      <c r="P177" s="44"/>
    </row>
    <row r="178" spans="1:16">
      <c r="A178" s="44"/>
      <c r="B178" s="44"/>
      <c r="C178" s="44"/>
      <c r="D178" s="44"/>
      <c r="E178" s="44"/>
      <c r="F178" s="44"/>
      <c r="G178" s="44"/>
      <c r="H178" s="44"/>
      <c r="J178" s="44"/>
      <c r="K178" s="44"/>
      <c r="L178" s="44"/>
      <c r="M178" s="44"/>
      <c r="O178" s="44"/>
      <c r="P178" s="44"/>
    </row>
    <row r="179" spans="1:16">
      <c r="A179" s="44"/>
      <c r="B179" s="44"/>
      <c r="C179" s="44"/>
      <c r="D179" s="44"/>
      <c r="E179" s="44"/>
      <c r="F179" s="44"/>
      <c r="G179" s="44"/>
      <c r="H179" s="44"/>
      <c r="J179" s="44"/>
      <c r="K179" s="44"/>
      <c r="L179" s="44"/>
      <c r="M179" s="44"/>
      <c r="O179" s="44"/>
      <c r="P179" s="44"/>
    </row>
    <row r="180" spans="1:16">
      <c r="A180" s="44"/>
      <c r="B180" s="44"/>
      <c r="C180" s="44"/>
      <c r="D180" s="44"/>
      <c r="E180" s="44"/>
      <c r="F180" s="44"/>
      <c r="G180" s="44"/>
      <c r="H180" s="44"/>
      <c r="J180" s="44"/>
      <c r="K180" s="44"/>
      <c r="L180" s="44"/>
      <c r="M180" s="44"/>
      <c r="O180" s="44"/>
      <c r="P180" s="44"/>
    </row>
    <row r="181" spans="1:16">
      <c r="A181" s="44"/>
      <c r="B181" s="44"/>
      <c r="C181" s="44"/>
      <c r="D181" s="44"/>
      <c r="E181" s="44"/>
      <c r="F181" s="44"/>
      <c r="G181" s="44"/>
      <c r="H181" s="44"/>
      <c r="J181" s="44"/>
      <c r="K181" s="44"/>
      <c r="L181" s="44"/>
      <c r="M181" s="44"/>
      <c r="O181" s="44"/>
      <c r="P181" s="44"/>
    </row>
    <row r="182" spans="1:16">
      <c r="A182" s="44"/>
      <c r="B182" s="44"/>
      <c r="C182" s="44"/>
      <c r="D182" s="44"/>
      <c r="E182" s="44"/>
      <c r="F182" s="44"/>
      <c r="G182" s="44"/>
      <c r="H182" s="44"/>
      <c r="J182" s="44"/>
      <c r="K182" s="44"/>
      <c r="L182" s="44"/>
      <c r="M182" s="44"/>
      <c r="O182" s="44"/>
      <c r="P182" s="44"/>
    </row>
  </sheetData>
  <phoneticPr fontId="0" type="noConversion"/>
  <pageMargins left="0.75" right="0.75" top="0.5" bottom="0.5" header="0.5" footer="0.5"/>
  <pageSetup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2057" r:id="rId3" name="Button 9">
              <controlPr defaultSize="0" print="0" autoFill="0" autoPict="0" macro="[0]!InitMod">
                <anchor moveWithCells="1" sizeWithCells="1">
                  <from>
                    <xdr:col>6</xdr:col>
                    <xdr:colOff>698500</xdr:colOff>
                    <xdr:row>92</xdr:row>
                    <xdr:rowOff>50800</xdr:rowOff>
                  </from>
                  <to>
                    <xdr:col>7</xdr:col>
                    <xdr:colOff>1117600</xdr:colOff>
                    <xdr:row>96</xdr:row>
                    <xdr:rowOff>127000</xdr:rowOff>
                  </to>
                </anchor>
              </controlPr>
            </control>
          </mc:Choice>
          <mc:Fallback/>
        </mc:AlternateContent>
        <mc:AlternateContent xmlns:mc="http://schemas.openxmlformats.org/markup-compatibility/2006">
          <mc:Choice Requires="x14">
            <control shapeId="2060" r:id="rId4" name="Button 12">
              <controlPr defaultSize="0" print="0" autoFill="0" autoPict="0" macro="[0]!ZeroTariff">
                <anchor moveWithCells="1" sizeWithCells="1">
                  <from>
                    <xdr:col>6</xdr:col>
                    <xdr:colOff>698500</xdr:colOff>
                    <xdr:row>97</xdr:row>
                    <xdr:rowOff>50800</xdr:rowOff>
                  </from>
                  <to>
                    <xdr:col>8</xdr:col>
                    <xdr:colOff>0</xdr:colOff>
                    <xdr:row>101</xdr:row>
                    <xdr:rowOff>76200</xdr:rowOff>
                  </to>
                </anchor>
              </controlPr>
            </control>
          </mc:Choice>
          <mc:Fallback/>
        </mc:AlternateContent>
        <mc:AlternateContent xmlns:mc="http://schemas.openxmlformats.org/markup-compatibility/2006">
          <mc:Choice Requires="x14">
            <control shapeId="2067" r:id="rId5" name="Button 19">
              <controlPr defaultSize="0" print="0" autoFill="0" autoPict="0" macro="[0]!FullReform">
                <anchor moveWithCells="1" sizeWithCells="1">
                  <from>
                    <xdr:col>6</xdr:col>
                    <xdr:colOff>673100</xdr:colOff>
                    <xdr:row>102</xdr:row>
                    <xdr:rowOff>38100</xdr:rowOff>
                  </from>
                  <to>
                    <xdr:col>8</xdr:col>
                    <xdr:colOff>0</xdr:colOff>
                    <xdr:row>106</xdr:row>
                    <xdr:rowOff>50800</xdr:rowOff>
                  </to>
                </anchor>
              </controlPr>
            </control>
          </mc:Choice>
          <mc:Fallback/>
        </mc:AlternateContent>
        <mc:AlternateContent xmlns:mc="http://schemas.openxmlformats.org/markup-compatibility/2006">
          <mc:Choice Requires="x14">
            <control shapeId="2073" r:id="rId6" name="Button 25">
              <controlPr defaultSize="0" print="0" autoFill="0" autoPict="0" macro="[0]!AgExportTax">
                <anchor moveWithCells="1" sizeWithCells="1">
                  <from>
                    <xdr:col>6</xdr:col>
                    <xdr:colOff>698500</xdr:colOff>
                    <xdr:row>107</xdr:row>
                    <xdr:rowOff>63500</xdr:rowOff>
                  </from>
                  <to>
                    <xdr:col>8</xdr:col>
                    <xdr:colOff>25400</xdr:colOff>
                    <xdr:row>111</xdr:row>
                    <xdr:rowOff>76200</xdr:rowOff>
                  </to>
                </anchor>
              </controlPr>
            </control>
          </mc:Choice>
          <mc:Fallback/>
        </mc:AlternateContent>
        <mc:AlternateContent xmlns:mc="http://schemas.openxmlformats.org/markup-compatibility/2006">
          <mc:Choice Requires="x14">
            <control shapeId="2074" r:id="rId7" name="Button 26">
              <controlPr defaultSize="0" print="0" autoFill="0" autoPict="0" macro="[0]!AgExprice.AgExPrice">
                <anchor moveWithCells="1" sizeWithCells="1">
                  <from>
                    <xdr:col>6</xdr:col>
                    <xdr:colOff>698500</xdr:colOff>
                    <xdr:row>112</xdr:row>
                    <xdr:rowOff>88900</xdr:rowOff>
                  </from>
                  <to>
                    <xdr:col>8</xdr:col>
                    <xdr:colOff>38100</xdr:colOff>
                    <xdr:row>116</xdr:row>
                    <xdr:rowOff>101600</xdr:rowOff>
                  </to>
                </anchor>
              </controlPr>
            </control>
          </mc:Choice>
          <mc:Fallback/>
        </mc:AlternateContent>
        <mc:AlternateContent xmlns:mc="http://schemas.openxmlformats.org/markup-compatibility/2006">
          <mc:Choice Requires="x14">
            <control shapeId="2075" r:id="rId8" name="Button 27">
              <controlPr defaultSize="0" print="0" autoFill="0" autoPict="0" macro="[0]!OthExPrice">
                <anchor moveWithCells="1" sizeWithCells="1">
                  <from>
                    <xdr:col>6</xdr:col>
                    <xdr:colOff>774700</xdr:colOff>
                    <xdr:row>117</xdr:row>
                    <xdr:rowOff>88900</xdr:rowOff>
                  </from>
                  <to>
                    <xdr:col>8</xdr:col>
                    <xdr:colOff>101600</xdr:colOff>
                    <xdr:row>121</xdr:row>
                    <xdr:rowOff>101600</xdr:rowOff>
                  </to>
                </anchor>
              </controlPr>
            </control>
          </mc:Choice>
          <mc:Fallback/>
        </mc:AlternateContent>
      </controls>
    </mc:Choice>
    <mc:Fallback/>
  </mc:AlternateContent>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enableFormatConditionsCalculation="0"/>
  <dimension ref="A1:V80"/>
  <sheetViews>
    <sheetView showGridLines="0" topLeftCell="E1" workbookViewId="0">
      <selection activeCell="E1" sqref="E1"/>
    </sheetView>
  </sheetViews>
  <sheetFormatPr baseColWidth="10" defaultColWidth="8.83203125" defaultRowHeight="12" x14ac:dyDescent="0"/>
  <cols>
    <col min="1" max="12" width="10.6640625" customWidth="1"/>
  </cols>
  <sheetData>
    <row r="1" spans="1:22" ht="17">
      <c r="A1" s="125" t="s">
        <v>186</v>
      </c>
      <c r="B1" s="125"/>
      <c r="C1" s="125"/>
      <c r="D1" s="44"/>
      <c r="E1" s="60" t="str">
        <f>CONCATENATE("Region/Country: ",SAM!C4)</f>
        <v>Region/Country: Thailand</v>
      </c>
      <c r="F1" s="44"/>
      <c r="G1" s="44"/>
      <c r="H1" s="44"/>
      <c r="I1" s="44"/>
      <c r="J1" s="44"/>
      <c r="K1" s="44"/>
      <c r="L1" s="44"/>
      <c r="M1" s="44"/>
      <c r="N1" s="44"/>
      <c r="O1" s="44"/>
      <c r="P1" s="44"/>
      <c r="Q1" s="44"/>
      <c r="R1" s="44"/>
      <c r="S1" s="44"/>
      <c r="T1" s="44"/>
      <c r="U1" s="44"/>
      <c r="V1" s="44"/>
    </row>
    <row r="2" spans="1:22" ht="13" thickBot="1">
      <c r="A2" s="44"/>
      <c r="B2" s="44"/>
      <c r="C2" s="44"/>
      <c r="D2" s="44"/>
      <c r="E2" s="44"/>
      <c r="F2" s="44"/>
      <c r="G2" s="44"/>
      <c r="H2" s="44"/>
      <c r="I2" s="44"/>
      <c r="J2" s="44"/>
      <c r="K2" s="44"/>
      <c r="L2" s="44"/>
      <c r="M2" s="44"/>
      <c r="N2" s="44"/>
      <c r="O2" s="44"/>
      <c r="P2" s="44"/>
      <c r="Q2" s="44"/>
      <c r="R2" s="44"/>
      <c r="S2" s="44"/>
      <c r="T2" s="44"/>
      <c r="U2" s="44"/>
      <c r="V2" s="44"/>
    </row>
    <row r="3" spans="1:22" ht="15">
      <c r="A3" s="12" t="s">
        <v>175</v>
      </c>
      <c r="B3" s="10"/>
      <c r="C3" s="11"/>
      <c r="D3" s="44"/>
      <c r="E3" s="12" t="s">
        <v>176</v>
      </c>
      <c r="F3" s="10"/>
      <c r="G3" s="10"/>
      <c r="H3" s="11"/>
      <c r="I3" s="44"/>
      <c r="J3" s="12" t="s">
        <v>178</v>
      </c>
      <c r="K3" s="10"/>
      <c r="L3" s="11"/>
      <c r="M3" s="44"/>
      <c r="N3" s="44"/>
      <c r="O3" s="44"/>
      <c r="P3" s="44"/>
      <c r="Q3" s="44"/>
      <c r="R3" s="44"/>
      <c r="S3" s="44"/>
      <c r="T3" s="44"/>
      <c r="U3" s="44"/>
      <c r="V3" s="44"/>
    </row>
    <row r="4" spans="1:22">
      <c r="A4" s="2"/>
      <c r="B4" s="20" t="str">
        <f>SAM!B6</f>
        <v>agr</v>
      </c>
      <c r="C4" s="21" t="str">
        <f>AggMat!D1</f>
        <v>oth</v>
      </c>
      <c r="D4" s="44"/>
      <c r="E4" s="39" t="s">
        <v>177</v>
      </c>
      <c r="F4" s="20" t="str">
        <f>B4</f>
        <v>agr</v>
      </c>
      <c r="G4" s="20" t="str">
        <f>C4</f>
        <v>oth</v>
      </c>
      <c r="H4" s="21" t="s">
        <v>79</v>
      </c>
      <c r="I4" s="44"/>
      <c r="J4" s="2"/>
      <c r="K4" s="20" t="str">
        <f>B4</f>
        <v>agr</v>
      </c>
      <c r="L4" s="21" t="str">
        <f>G4</f>
        <v>oth</v>
      </c>
      <c r="M4" s="44"/>
      <c r="N4" s="44"/>
      <c r="O4" s="44"/>
      <c r="P4" s="44"/>
      <c r="Q4" s="44"/>
      <c r="R4" s="44"/>
      <c r="S4" s="44"/>
      <c r="T4" s="44"/>
      <c r="U4" s="44"/>
      <c r="V4" s="44"/>
    </row>
    <row r="5" spans="1:22">
      <c r="A5" s="41" t="s">
        <v>63</v>
      </c>
      <c r="B5" s="18">
        <v>0</v>
      </c>
      <c r="C5" s="19">
        <v>0</v>
      </c>
      <c r="D5" s="44"/>
      <c r="E5" s="41" t="s">
        <v>78</v>
      </c>
      <c r="F5" s="18">
        <v>0.56000000000000005</v>
      </c>
      <c r="G5" s="18">
        <v>1</v>
      </c>
      <c r="H5" s="26">
        <f>mus/H6</f>
        <v>1.0532215202632633</v>
      </c>
      <c r="I5" s="44"/>
      <c r="J5" s="41" t="s">
        <v>116</v>
      </c>
      <c r="K5" s="36">
        <v>4</v>
      </c>
      <c r="L5" s="37">
        <v>4</v>
      </c>
      <c r="M5" s="44"/>
      <c r="N5" s="44"/>
      <c r="O5" s="44"/>
      <c r="P5" s="44"/>
      <c r="Q5" s="44"/>
      <c r="R5" s="44"/>
      <c r="S5" s="44"/>
      <c r="T5" s="44"/>
      <c r="U5" s="44"/>
      <c r="V5" s="44"/>
    </row>
    <row r="6" spans="1:22">
      <c r="A6" s="2" t="s">
        <v>64</v>
      </c>
      <c r="B6" s="22">
        <f>(nd_a0/xp_a0)*(pnd_a0/px_a0)^sigmap_a</f>
        <v>0.31886785173143189</v>
      </c>
      <c r="C6" s="23">
        <f>(nd_o0/xp_o0)*(pnd_o0/px_o0)^sigmap_o</f>
        <v>0.59077028331189696</v>
      </c>
      <c r="D6" s="44"/>
      <c r="E6" s="2" t="s">
        <v>80</v>
      </c>
      <c r="F6" s="27">
        <f>(1+itc_a0)*pa_a0*xac_a0/yd0</f>
        <v>3.5058148544010466E-2</v>
      </c>
      <c r="G6" s="27">
        <f>(1+itc_o0)*pa_o0*xac_o0/yd0</f>
        <v>0.67510448335637618</v>
      </c>
      <c r="H6" s="28">
        <f>savh0/yd0</f>
        <v>0.28983736809961341</v>
      </c>
      <c r="I6" s="44"/>
      <c r="J6" s="2" t="s">
        <v>117</v>
      </c>
      <c r="K6" s="29">
        <f>(xdd_a0/xa_a0)*(pd_a0/pa_a0)^sigmam_a</f>
        <v>0.88271185838049127</v>
      </c>
      <c r="L6" s="30">
        <f>(xdd_o0/xa_o0)*(pd_o0/pa_o0)^sigmam_o</f>
        <v>0.70349582712915615</v>
      </c>
      <c r="M6" s="44"/>
      <c r="N6" s="44"/>
      <c r="O6" s="44"/>
      <c r="P6" s="44"/>
      <c r="Q6" s="44"/>
      <c r="R6" s="44"/>
      <c r="S6" s="44"/>
      <c r="T6" s="44"/>
      <c r="U6" s="44"/>
      <c r="V6" s="44"/>
    </row>
    <row r="7" spans="1:22">
      <c r="A7" s="2" t="s">
        <v>65</v>
      </c>
      <c r="B7" s="22">
        <f>(va_a0/xp_a0)*(pva_a0/px_a0)^sigmap_a</f>
        <v>0.67961907622714124</v>
      </c>
      <c r="C7" s="23">
        <f>(va_o0/xp_o0)*(pva_o0/px_o0)^sigmap_o</f>
        <v>0.36785752105035041</v>
      </c>
      <c r="D7" s="44"/>
      <c r="E7" s="2" t="s">
        <v>81</v>
      </c>
      <c r="F7" s="29">
        <f>F5*F6</f>
        <v>1.9632563184645863E-2</v>
      </c>
      <c r="G7" s="29">
        <f>G5*G6</f>
        <v>0.67510448335637618</v>
      </c>
      <c r="H7" s="30">
        <f>1-mu_a-mu_o</f>
        <v>0.30526295345897791</v>
      </c>
      <c r="I7" s="44"/>
      <c r="J7" s="2" t="s">
        <v>118</v>
      </c>
      <c r="K7" s="29">
        <f>(xm_a0/xa_a0)*(pm_a0/pa_a0)^sigmam_a</f>
        <v>0.17057354722918416</v>
      </c>
      <c r="L7" s="30">
        <f>(xm_o0/xa_o0)*(pm_o0/pa_o0)^sigmam_o</f>
        <v>0.38147301825362662</v>
      </c>
      <c r="M7" s="44"/>
      <c r="N7" s="44"/>
      <c r="O7" s="44"/>
      <c r="P7" s="44"/>
      <c r="Q7" s="44"/>
      <c r="R7" s="44"/>
      <c r="S7" s="44"/>
      <c r="T7" s="44"/>
      <c r="U7" s="44"/>
      <c r="V7" s="44"/>
    </row>
    <row r="8" spans="1:22">
      <c r="A8" s="2"/>
      <c r="B8" s="3"/>
      <c r="C8" s="16"/>
      <c r="D8" s="44"/>
      <c r="E8" s="2" t="s">
        <v>82</v>
      </c>
      <c r="F8" s="31">
        <f t="array" ref="F8:G8">TRANSPOSE(MMULT(MINVERSE(AMat),CMat))</f>
        <v>1442.4212979501349</v>
      </c>
      <c r="G8" s="31">
        <v>2997.225370157998</v>
      </c>
      <c r="H8" s="16"/>
      <c r="I8" s="44"/>
      <c r="J8" s="2"/>
      <c r="K8" s="3"/>
      <c r="L8" s="16"/>
      <c r="M8" s="44"/>
      <c r="N8" s="44"/>
      <c r="O8" s="44"/>
      <c r="P8" s="44"/>
      <c r="Q8" s="44"/>
      <c r="R8" s="44"/>
      <c r="S8" s="44"/>
      <c r="T8" s="44"/>
      <c r="U8" s="44"/>
      <c r="V8" s="44"/>
    </row>
    <row r="9" spans="1:22">
      <c r="A9" s="41" t="s">
        <v>695</v>
      </c>
      <c r="B9" s="18">
        <v>0.9</v>
      </c>
      <c r="C9" s="19">
        <v>0.95</v>
      </c>
      <c r="D9" s="44"/>
      <c r="E9" s="2"/>
      <c r="F9" s="3"/>
      <c r="G9" s="3"/>
      <c r="H9" s="16"/>
      <c r="I9" s="44"/>
      <c r="J9" s="41" t="s">
        <v>184</v>
      </c>
      <c r="K9" s="36">
        <v>4</v>
      </c>
      <c r="L9" s="37">
        <v>4</v>
      </c>
      <c r="M9" s="44"/>
      <c r="N9" s="44"/>
      <c r="O9" s="44"/>
      <c r="P9" s="44"/>
      <c r="Q9" s="44"/>
      <c r="R9" s="44"/>
      <c r="S9" s="44"/>
      <c r="T9" s="44"/>
      <c r="U9" s="44"/>
      <c r="V9" s="44"/>
    </row>
    <row r="10" spans="1:22">
      <c r="A10" s="2" t="s">
        <v>66</v>
      </c>
      <c r="B10" s="22">
        <f>(ld_a0/va_a0)*(wage0/pva_a0)^sigmav_a</f>
        <v>0.37590282580771661</v>
      </c>
      <c r="C10" s="23">
        <f>(ld_o0/va_o0)*(wage0/pva_o0)^sigmav_o</f>
        <v>0.30287856547998676</v>
      </c>
      <c r="D10" s="44"/>
      <c r="E10" s="2"/>
      <c r="F10" s="29">
        <f>1-mu_a</f>
        <v>0.9803674368153541</v>
      </c>
      <c r="G10" s="29">
        <f>-mu_a*(1+itc_o0)*pa_o0/((1+itc_a0)*pa_a0)</f>
        <v>-1.9632563184645863E-2</v>
      </c>
      <c r="H10" s="32">
        <f>xac_a0-mu_a*yd0/((1+itc_a0)*pa_a0)</f>
        <v>1355.2596542209994</v>
      </c>
      <c r="I10" s="44"/>
      <c r="J10" s="2" t="s">
        <v>117</v>
      </c>
      <c r="K10" s="29">
        <f>(xds_a0/xp_a0)*(pp_a0/pd_a0)^sigmax_a</f>
        <v>0.83581316715681131</v>
      </c>
      <c r="L10" s="30">
        <f>(xds_o0/xp_o0)*(pp_o0/pd_o0)^sigmax_o</f>
        <v>0.67130492023774457</v>
      </c>
      <c r="M10" s="44"/>
      <c r="N10" s="44"/>
      <c r="O10" s="44"/>
      <c r="P10" s="44"/>
      <c r="Q10" s="44"/>
      <c r="R10" s="44"/>
      <c r="S10" s="44"/>
      <c r="T10" s="44"/>
      <c r="U10" s="44"/>
      <c r="V10" s="44"/>
    </row>
    <row r="11" spans="1:22">
      <c r="A11" s="2" t="s">
        <v>696</v>
      </c>
      <c r="B11" s="22">
        <f>(kf_a0/va_a0)*(pkf_a0/pva_a0)^sigmav_a</f>
        <v>0.62409717419228339</v>
      </c>
      <c r="C11" s="23">
        <f>(kf_o0/va_o0)*(pkf_o0/pva_o0)^sigmav_o</f>
        <v>0.69712143452001341</v>
      </c>
      <c r="D11" s="44"/>
      <c r="E11" s="2"/>
      <c r="F11" s="29">
        <f>-mu_o*(1+itc_a0)*pa_a0/((1+itc_o0)*pa_o0)</f>
        <v>-0.67510448335637618</v>
      </c>
      <c r="G11" s="29">
        <f>1-mu_o</f>
        <v>0.32489551664362382</v>
      </c>
      <c r="H11" s="32">
        <f>xac_o0-mu_o*yd0/((1+itc_o0)*pa_o0)</f>
        <v>0</v>
      </c>
      <c r="I11" s="44"/>
      <c r="J11" s="2" t="s">
        <v>139</v>
      </c>
      <c r="K11" s="29">
        <f>(es_a0/xp_a0)*(pp_a0/pe_a0)^sigmax_a</f>
        <v>0.1641868906041391</v>
      </c>
      <c r="L11" s="30">
        <f>(es_o0/xp_o0)*(pp_o0/pe_o0)^sigmax_o</f>
        <v>0.32869357114134051</v>
      </c>
      <c r="M11" s="44"/>
      <c r="N11" s="44"/>
      <c r="O11" s="44"/>
      <c r="P11" s="44"/>
      <c r="Q11" s="44"/>
      <c r="R11" s="44"/>
      <c r="S11" s="44"/>
      <c r="T11" s="44"/>
      <c r="U11" s="44"/>
      <c r="V11" s="44"/>
    </row>
    <row r="12" spans="1:22">
      <c r="A12" s="2"/>
      <c r="B12" s="3"/>
      <c r="C12" s="16"/>
      <c r="D12" s="44"/>
      <c r="E12" s="2"/>
      <c r="F12" s="29"/>
      <c r="G12" s="29"/>
      <c r="H12" s="32"/>
      <c r="I12" s="44"/>
      <c r="J12" s="2"/>
      <c r="K12" s="3"/>
      <c r="L12" s="16"/>
      <c r="M12" s="44"/>
      <c r="N12" s="44"/>
      <c r="O12" s="44"/>
      <c r="P12" s="44"/>
      <c r="Q12" s="44"/>
      <c r="R12" s="44"/>
      <c r="S12" s="44"/>
      <c r="T12" s="44"/>
      <c r="U12" s="44"/>
      <c r="V12" s="44"/>
    </row>
    <row r="13" spans="1:22">
      <c r="A13" s="41" t="s">
        <v>697</v>
      </c>
      <c r="B13" s="18">
        <v>0</v>
      </c>
      <c r="C13" s="19">
        <v>0</v>
      </c>
      <c r="D13" s="44"/>
      <c r="E13" s="39" t="s">
        <v>179</v>
      </c>
      <c r="F13" s="3"/>
      <c r="G13" s="3"/>
      <c r="H13" s="16"/>
      <c r="I13" s="44"/>
      <c r="J13" s="41" t="s">
        <v>148</v>
      </c>
      <c r="K13" s="36">
        <v>20</v>
      </c>
      <c r="L13" s="37">
        <v>20</v>
      </c>
      <c r="M13" s="44"/>
      <c r="N13" s="44"/>
      <c r="O13" s="44"/>
      <c r="P13" s="44"/>
      <c r="Q13" s="44"/>
      <c r="R13" s="44"/>
      <c r="S13" s="44"/>
      <c r="T13" s="44"/>
      <c r="U13" s="44"/>
      <c r="V13" s="44"/>
    </row>
    <row r="14" spans="1:22" ht="13" thickBot="1">
      <c r="A14" s="2" t="s">
        <v>67</v>
      </c>
      <c r="B14" s="22">
        <f>(kd_a0/kf_a0)*(rent_a0/pkf_a0)^sigmak_a</f>
        <v>0.80778509474830762</v>
      </c>
      <c r="C14" s="23">
        <f>(kd_o0/kf_o0)*(rent_o0/pkf_o0)^sigmak_o</f>
        <v>0.99633309355160715</v>
      </c>
      <c r="D14" s="44"/>
      <c r="E14" s="41" t="s">
        <v>99</v>
      </c>
      <c r="F14" s="3"/>
      <c r="G14" s="3"/>
      <c r="H14" s="16"/>
      <c r="I14" s="44"/>
      <c r="J14" s="7" t="s">
        <v>149</v>
      </c>
      <c r="K14" s="84">
        <f>ed_a0*(wpe_a0/wpebar_a0)^epse_a</f>
        <v>2767.5739260140003</v>
      </c>
      <c r="L14" s="85">
        <f>ed_o0*(wpe_o0/wpebar_o0)^epse_o</f>
        <v>83518.131411630224</v>
      </c>
      <c r="M14" s="44"/>
      <c r="N14" s="44"/>
      <c r="O14" s="44"/>
      <c r="P14" s="44"/>
      <c r="Q14" s="44"/>
      <c r="R14" s="44"/>
      <c r="S14" s="44"/>
      <c r="T14" s="44"/>
      <c r="U14" s="44"/>
      <c r="V14" s="44"/>
    </row>
    <row r="15" spans="1:22">
      <c r="A15" s="2" t="s">
        <v>698</v>
      </c>
      <c r="B15" s="22">
        <f>(fd_a0/kf_a0)*(pf_a0/pkf_a0)^sigmak_a</f>
        <v>0.19221490525169249</v>
      </c>
      <c r="C15" s="23">
        <f>(fd_o0/kf_o0)*(pf_o0/pkf_o0)^sigmak_o</f>
        <v>3.6669064483928456E-3</v>
      </c>
      <c r="D15" s="44"/>
      <c r="E15" s="33">
        <v>0</v>
      </c>
      <c r="F15" s="29">
        <f>(xag_a0/xg0)*((1+itg_a0)*pa_a0/pg0)^sigmag</f>
        <v>5.3890844819069722E-8</v>
      </c>
      <c r="G15" s="29">
        <f>(xag_o0/xg0)*((1+itg_o0)*pa_o0/pg0)^sigmag</f>
        <v>0.9999999461091551</v>
      </c>
      <c r="H15" s="16"/>
      <c r="I15" s="44"/>
      <c r="J15" s="44"/>
      <c r="K15" s="44"/>
      <c r="L15" s="44"/>
      <c r="M15" s="44"/>
      <c r="N15" s="44"/>
      <c r="O15" s="44"/>
      <c r="P15" s="44"/>
      <c r="Q15" s="44"/>
      <c r="R15" s="44"/>
      <c r="S15" s="44"/>
      <c r="T15" s="44"/>
      <c r="U15" s="44"/>
      <c r="V15" s="44"/>
    </row>
    <row r="16" spans="1:22">
      <c r="A16" s="2"/>
      <c r="B16" s="3"/>
      <c r="C16" s="16"/>
      <c r="D16" s="44"/>
      <c r="E16" s="42"/>
      <c r="F16" s="43"/>
      <c r="G16" s="43"/>
      <c r="H16" s="16"/>
      <c r="I16" s="44"/>
      <c r="J16" s="44"/>
      <c r="K16" s="44"/>
      <c r="L16" s="44"/>
      <c r="M16" s="44"/>
      <c r="N16" s="44"/>
      <c r="O16" s="44"/>
      <c r="P16" s="44"/>
      <c r="Q16" s="44"/>
      <c r="R16" s="44"/>
      <c r="S16" s="44"/>
      <c r="T16" s="44"/>
      <c r="U16" s="44"/>
      <c r="V16" s="44"/>
    </row>
    <row r="17" spans="1:22">
      <c r="A17" s="41" t="s">
        <v>700</v>
      </c>
      <c r="B17" s="3"/>
      <c r="C17" s="16"/>
      <c r="D17" s="44"/>
      <c r="E17" s="39" t="s">
        <v>180</v>
      </c>
      <c r="F17" s="3"/>
      <c r="G17" s="3"/>
      <c r="H17" s="16"/>
      <c r="I17" s="44"/>
      <c r="J17" s="44"/>
      <c r="K17" s="44"/>
      <c r="L17" s="44"/>
      <c r="M17" s="44"/>
      <c r="N17" s="44"/>
      <c r="O17" s="44"/>
      <c r="P17" s="44"/>
      <c r="Q17" s="44"/>
      <c r="R17" s="44"/>
      <c r="S17" s="44"/>
      <c r="T17" s="44"/>
      <c r="U17" s="44"/>
      <c r="V17" s="44"/>
    </row>
    <row r="18" spans="1:22">
      <c r="A18" s="2" t="str">
        <f>B4</f>
        <v>agr</v>
      </c>
      <c r="B18" s="22">
        <f>xap_aa0/nd_a0</f>
        <v>0.12375410133020669</v>
      </c>
      <c r="C18" s="23">
        <f>xap_ao0/nd_o0</f>
        <v>8.656367597325057E-2</v>
      </c>
      <c r="D18" s="44"/>
      <c r="E18" s="41" t="s">
        <v>100</v>
      </c>
      <c r="F18" s="3"/>
      <c r="G18" s="3"/>
      <c r="H18" s="16"/>
      <c r="I18" s="44"/>
      <c r="J18" s="44"/>
      <c r="K18" s="44"/>
      <c r="L18" s="44"/>
      <c r="M18" s="44"/>
      <c r="N18" s="44"/>
      <c r="O18" s="44"/>
      <c r="P18" s="44"/>
      <c r="Q18" s="44"/>
      <c r="R18" s="44"/>
      <c r="S18" s="44"/>
      <c r="T18" s="44"/>
      <c r="U18" s="44"/>
      <c r="V18" s="44"/>
    </row>
    <row r="19" spans="1:22" ht="13" thickBot="1">
      <c r="A19" s="7" t="str">
        <f>C4</f>
        <v>oth</v>
      </c>
      <c r="B19" s="24">
        <f>xap_oa0/nd_a0</f>
        <v>0.87624884672908521</v>
      </c>
      <c r="C19" s="25">
        <f>xap_oo0/nd_o0</f>
        <v>0.91317333787519384</v>
      </c>
      <c r="D19" s="44"/>
      <c r="E19" s="34">
        <v>0</v>
      </c>
      <c r="F19" s="35">
        <f>(xai_a0/xi0)*((1+iti_a0)*pa_a0/pi0)^sigmai</f>
        <v>2.538253642819488E-3</v>
      </c>
      <c r="G19" s="35">
        <f>(xai_o0/xi0)*((1+iti_o0)*pa_o0/pi0)^sigmai</f>
        <v>0.99746174635718055</v>
      </c>
      <c r="H19" s="17"/>
      <c r="I19" s="44"/>
      <c r="J19" s="44"/>
      <c r="K19" s="44"/>
      <c r="L19" s="44"/>
      <c r="M19" s="44"/>
      <c r="N19" s="44"/>
      <c r="O19" s="44"/>
      <c r="P19" s="44"/>
      <c r="Q19" s="44"/>
      <c r="R19" s="44"/>
      <c r="S19" s="44"/>
      <c r="T19" s="44"/>
      <c r="U19" s="44"/>
      <c r="V19" s="44"/>
    </row>
    <row r="20" spans="1:22">
      <c r="A20" s="44"/>
      <c r="B20" s="44"/>
      <c r="C20" s="44"/>
      <c r="D20" s="44"/>
      <c r="E20" s="44"/>
      <c r="F20" s="44"/>
      <c r="G20" s="44"/>
      <c r="H20" s="44"/>
      <c r="I20" s="44"/>
      <c r="J20" s="44"/>
      <c r="K20" s="44"/>
      <c r="L20" s="44"/>
      <c r="M20" s="44"/>
      <c r="N20" s="44"/>
      <c r="O20" s="44"/>
      <c r="P20" s="44"/>
      <c r="Q20" s="44"/>
      <c r="R20" s="44"/>
      <c r="S20" s="44"/>
      <c r="T20" s="44"/>
      <c r="U20" s="44"/>
      <c r="V20" s="44"/>
    </row>
    <row r="21" spans="1:22" ht="13" thickBot="1">
      <c r="A21" s="44"/>
      <c r="B21" s="44"/>
      <c r="C21" s="44"/>
      <c r="D21" s="44"/>
      <c r="E21" s="44"/>
      <c r="F21" s="44"/>
      <c r="G21" s="44"/>
      <c r="H21" s="44"/>
      <c r="I21" s="44"/>
      <c r="J21" s="44"/>
      <c r="K21" s="44"/>
      <c r="L21" s="44"/>
      <c r="M21" s="44"/>
      <c r="N21" s="44"/>
      <c r="O21" s="44"/>
      <c r="P21" s="44"/>
      <c r="Q21" s="44"/>
      <c r="R21" s="44"/>
      <c r="S21" s="44"/>
      <c r="T21" s="44"/>
      <c r="U21" s="44"/>
      <c r="V21" s="44"/>
    </row>
    <row r="22" spans="1:22" ht="15">
      <c r="A22" s="12" t="s">
        <v>181</v>
      </c>
      <c r="B22" s="10"/>
      <c r="C22" s="11"/>
      <c r="D22" s="44"/>
      <c r="E22" s="44"/>
      <c r="F22" s="44"/>
      <c r="G22" s="44"/>
      <c r="H22" s="44"/>
      <c r="I22" s="44"/>
      <c r="J22" s="44"/>
      <c r="K22" s="44"/>
      <c r="L22" s="44"/>
      <c r="M22" s="44"/>
      <c r="N22" s="44"/>
      <c r="O22" s="44"/>
      <c r="P22" s="44"/>
      <c r="Q22" s="44"/>
      <c r="R22" s="44"/>
      <c r="S22" s="44"/>
      <c r="T22" s="44"/>
      <c r="U22" s="44"/>
      <c r="V22" s="44"/>
    </row>
    <row r="23" spans="1:22">
      <c r="A23" s="39" t="s">
        <v>182</v>
      </c>
      <c r="B23" s="3"/>
      <c r="C23" s="16"/>
      <c r="D23" s="44"/>
      <c r="E23" s="44"/>
      <c r="F23" s="44"/>
      <c r="G23" s="44"/>
      <c r="H23" s="44"/>
      <c r="I23" s="44"/>
      <c r="J23" s="44"/>
      <c r="K23" s="44"/>
      <c r="L23" s="44"/>
      <c r="M23" s="44"/>
      <c r="N23" s="44"/>
      <c r="O23" s="44"/>
      <c r="P23" s="44"/>
      <c r="Q23" s="44"/>
      <c r="R23" s="44"/>
      <c r="S23" s="44"/>
      <c r="T23" s="44"/>
      <c r="U23" s="44"/>
      <c r="V23" s="44"/>
    </row>
    <row r="24" spans="1:22">
      <c r="A24" s="41" t="s">
        <v>153</v>
      </c>
      <c r="B24" s="36">
        <v>0</v>
      </c>
      <c r="C24" s="16"/>
      <c r="D24" s="44"/>
      <c r="E24" s="44"/>
      <c r="F24" s="44"/>
      <c r="G24" s="44"/>
      <c r="H24" s="44"/>
      <c r="I24" s="44"/>
      <c r="J24" s="44"/>
      <c r="K24" s="44"/>
      <c r="L24" s="44"/>
      <c r="M24" s="44"/>
      <c r="N24" s="44"/>
      <c r="O24" s="44"/>
      <c r="P24" s="44"/>
      <c r="Q24" s="44"/>
      <c r="R24" s="44"/>
      <c r="S24" s="44"/>
      <c r="T24" s="44"/>
      <c r="U24" s="44"/>
      <c r="V24" s="44"/>
    </row>
    <row r="25" spans="1:22">
      <c r="A25" s="2" t="s">
        <v>154</v>
      </c>
      <c r="B25" s="86">
        <f>Ls0*(pindex0/wage0)^omegal</f>
        <v>30792.058991115002</v>
      </c>
      <c r="C25" s="16"/>
      <c r="D25" s="44"/>
      <c r="E25" s="44"/>
      <c r="F25" s="44"/>
      <c r="G25" s="44"/>
      <c r="H25" s="44"/>
      <c r="I25" s="44"/>
      <c r="J25" s="44"/>
      <c r="K25" s="44"/>
      <c r="L25" s="44"/>
      <c r="M25" s="44"/>
      <c r="N25" s="44"/>
      <c r="O25" s="44"/>
      <c r="P25" s="44"/>
      <c r="Q25" s="44"/>
      <c r="R25" s="44"/>
      <c r="S25" s="44"/>
      <c r="T25" s="44"/>
      <c r="U25" s="44"/>
      <c r="V25" s="44"/>
    </row>
    <row r="26" spans="1:22">
      <c r="A26" s="2"/>
      <c r="B26" s="3"/>
      <c r="C26" s="16"/>
      <c r="D26" s="44"/>
      <c r="E26" s="44"/>
      <c r="F26" s="44"/>
      <c r="G26" s="44"/>
      <c r="H26" s="44"/>
      <c r="I26" s="44"/>
      <c r="J26" s="44"/>
      <c r="K26" s="44"/>
      <c r="L26" s="44"/>
      <c r="M26" s="44"/>
      <c r="N26" s="44"/>
      <c r="O26" s="44"/>
      <c r="P26" s="44"/>
      <c r="Q26" s="44"/>
      <c r="R26" s="44"/>
      <c r="S26" s="44"/>
      <c r="T26" s="44"/>
      <c r="U26" s="44"/>
      <c r="V26" s="44"/>
    </row>
    <row r="27" spans="1:22">
      <c r="A27" s="39" t="s">
        <v>183</v>
      </c>
      <c r="B27" s="20" t="str">
        <f>B4</f>
        <v>agr</v>
      </c>
      <c r="C27" s="21" t="str">
        <f>C4</f>
        <v>oth</v>
      </c>
      <c r="D27" s="44"/>
      <c r="E27" s="44"/>
      <c r="F27" s="44"/>
      <c r="G27" s="44"/>
      <c r="H27" s="44"/>
      <c r="I27" s="44"/>
      <c r="J27" s="44"/>
      <c r="K27" s="44"/>
      <c r="L27" s="44"/>
      <c r="M27" s="44"/>
      <c r="N27" s="44"/>
      <c r="O27" s="44"/>
      <c r="P27" s="44"/>
      <c r="Q27" s="44"/>
      <c r="R27" s="44"/>
      <c r="S27" s="44"/>
      <c r="T27" s="44"/>
      <c r="U27" s="44"/>
      <c r="V27" s="44"/>
    </row>
    <row r="28" spans="1:22">
      <c r="A28" s="41" t="s">
        <v>162</v>
      </c>
      <c r="B28" s="3"/>
      <c r="C28" s="16"/>
      <c r="D28" s="44"/>
      <c r="E28" s="44"/>
      <c r="F28" s="44"/>
      <c r="G28" s="44"/>
      <c r="H28" s="44"/>
      <c r="I28" s="44"/>
      <c r="J28" s="44"/>
      <c r="K28" s="44"/>
      <c r="L28" s="44"/>
      <c r="M28" s="44"/>
      <c r="N28" s="44"/>
      <c r="O28" s="44"/>
      <c r="P28" s="44"/>
      <c r="Q28" s="44"/>
      <c r="R28" s="44"/>
      <c r="S28" s="44"/>
      <c r="T28" s="44"/>
      <c r="U28" s="44"/>
      <c r="V28" s="44"/>
    </row>
    <row r="29" spans="1:22">
      <c r="A29" s="33">
        <v>1</v>
      </c>
      <c r="B29" s="29">
        <f>(ks_a0/TK0)*(Trent0/rent_a0)^omegak</f>
        <v>8.6829805846110247E-2</v>
      </c>
      <c r="C29" s="30">
        <f>(ks_o0/TK0)*(Trent0/rent_o0)^omegak</f>
        <v>0.91317019415388967</v>
      </c>
      <c r="D29" s="44"/>
      <c r="E29" s="44"/>
      <c r="F29" s="44"/>
      <c r="G29" s="44"/>
      <c r="H29" s="44"/>
      <c r="I29" s="44"/>
      <c r="J29" s="44"/>
      <c r="K29" s="44"/>
      <c r="L29" s="44"/>
      <c r="M29" s="44"/>
      <c r="N29" s="44"/>
      <c r="O29" s="44"/>
      <c r="P29" s="44"/>
      <c r="Q29" s="44"/>
      <c r="R29" s="44"/>
      <c r="S29" s="44"/>
      <c r="T29" s="44"/>
      <c r="U29" s="44"/>
      <c r="V29" s="44"/>
    </row>
    <row r="30" spans="1:22">
      <c r="A30" s="2"/>
      <c r="B30" s="3"/>
      <c r="C30" s="16"/>
      <c r="D30" s="44"/>
      <c r="E30" s="44"/>
      <c r="F30" s="44"/>
      <c r="G30" s="44"/>
      <c r="H30" s="44"/>
      <c r="I30" s="44"/>
      <c r="J30" s="44"/>
      <c r="K30" s="44"/>
      <c r="L30" s="44"/>
      <c r="M30" s="44"/>
      <c r="N30" s="44"/>
      <c r="O30" s="44"/>
      <c r="P30" s="44"/>
      <c r="Q30" s="44"/>
      <c r="R30" s="44"/>
      <c r="S30" s="44"/>
      <c r="T30" s="44"/>
      <c r="U30" s="44"/>
      <c r="V30" s="44"/>
    </row>
    <row r="31" spans="1:22">
      <c r="A31" s="39" t="s">
        <v>703</v>
      </c>
      <c r="B31" s="3"/>
      <c r="C31" s="16"/>
      <c r="D31" s="44"/>
      <c r="E31" s="44"/>
      <c r="F31" s="44"/>
      <c r="G31" s="44"/>
      <c r="H31" s="44"/>
      <c r="I31" s="44"/>
      <c r="J31" s="44"/>
      <c r="K31" s="44"/>
      <c r="L31" s="44"/>
      <c r="M31" s="44"/>
      <c r="N31" s="44"/>
      <c r="O31" s="44"/>
      <c r="P31" s="44"/>
      <c r="Q31" s="44"/>
      <c r="R31" s="44"/>
      <c r="S31" s="44"/>
      <c r="T31" s="44"/>
      <c r="U31" s="44"/>
      <c r="V31" s="44"/>
    </row>
    <row r="32" spans="1:22">
      <c r="A32" s="41" t="s">
        <v>704</v>
      </c>
      <c r="B32" s="36">
        <v>0</v>
      </c>
      <c r="C32" s="37">
        <v>5</v>
      </c>
      <c r="D32" s="44"/>
      <c r="E32" s="44"/>
      <c r="F32" s="44"/>
      <c r="G32" s="44"/>
      <c r="H32" s="44"/>
      <c r="I32" s="44"/>
      <c r="J32" s="44"/>
      <c r="K32" s="44"/>
      <c r="L32" s="44"/>
      <c r="M32" s="44"/>
      <c r="N32" s="44"/>
      <c r="O32" s="44"/>
      <c r="P32" s="44"/>
      <c r="Q32" s="44"/>
      <c r="R32" s="44"/>
      <c r="S32" s="44"/>
      <c r="T32" s="44"/>
      <c r="U32" s="44"/>
      <c r="V32" s="44"/>
    </row>
    <row r="33" spans="1:22" ht="13" thickBot="1">
      <c r="A33" s="7" t="s">
        <v>705</v>
      </c>
      <c r="B33" s="84">
        <f>fs_a0*(pindex0/pf_a0)^omegaf_a</f>
        <v>1374.2495100000001</v>
      </c>
      <c r="C33" s="85">
        <f>fs_o0*(pindex0/pf_o0)^omegaf_o</f>
        <v>223.53860499999999</v>
      </c>
      <c r="D33" s="44"/>
      <c r="E33" s="44"/>
      <c r="F33" s="44"/>
      <c r="G33" s="44"/>
      <c r="H33" s="44"/>
      <c r="I33" s="44"/>
      <c r="J33" s="44"/>
      <c r="K33" s="44"/>
      <c r="L33" s="44"/>
      <c r="M33" s="44"/>
      <c r="N33" s="44"/>
      <c r="O33" s="44"/>
      <c r="P33" s="44"/>
      <c r="Q33" s="44"/>
      <c r="R33" s="44"/>
      <c r="S33" s="44"/>
      <c r="T33" s="44"/>
      <c r="U33" s="44"/>
      <c r="V33" s="44"/>
    </row>
    <row r="34" spans="1:22">
      <c r="A34" s="44"/>
      <c r="B34" s="44"/>
      <c r="C34" s="44"/>
      <c r="D34" s="44"/>
      <c r="E34" s="44"/>
      <c r="F34" s="44"/>
      <c r="G34" s="44"/>
      <c r="H34" s="44"/>
      <c r="I34" s="44"/>
      <c r="J34" s="44"/>
      <c r="K34" s="44"/>
      <c r="L34" s="44"/>
      <c r="M34" s="44"/>
      <c r="N34" s="44"/>
      <c r="O34" s="44"/>
      <c r="P34" s="44"/>
      <c r="Q34" s="44"/>
      <c r="R34" s="44"/>
      <c r="S34" s="44"/>
      <c r="T34" s="44"/>
      <c r="U34" s="44"/>
      <c r="V34" s="44"/>
    </row>
    <row r="35" spans="1:22">
      <c r="A35" s="44"/>
      <c r="B35" s="44"/>
      <c r="C35" s="44"/>
      <c r="D35" s="44"/>
      <c r="E35" s="44"/>
      <c r="F35" s="44"/>
      <c r="G35" s="44"/>
      <c r="H35" s="44"/>
      <c r="I35" s="44"/>
      <c r="J35" s="44"/>
      <c r="K35" s="44"/>
      <c r="L35" s="44"/>
      <c r="M35" s="44"/>
      <c r="N35" s="44"/>
      <c r="O35" s="44"/>
      <c r="P35" s="44"/>
      <c r="Q35" s="44"/>
      <c r="R35" s="44"/>
      <c r="S35" s="44"/>
      <c r="T35" s="44"/>
      <c r="U35" s="44"/>
      <c r="V35" s="44"/>
    </row>
    <row r="36" spans="1:22">
      <c r="A36" s="44"/>
      <c r="B36" s="44"/>
      <c r="C36" s="44"/>
      <c r="D36" s="44"/>
      <c r="E36" s="44"/>
      <c r="F36" s="44"/>
      <c r="G36" s="44"/>
      <c r="H36" s="44"/>
      <c r="I36" s="44"/>
      <c r="J36" s="44"/>
      <c r="K36" s="44"/>
      <c r="L36" s="44"/>
      <c r="M36" s="44"/>
      <c r="N36" s="44"/>
      <c r="O36" s="44"/>
      <c r="P36" s="44"/>
      <c r="Q36" s="44"/>
      <c r="R36" s="44"/>
      <c r="S36" s="44"/>
      <c r="T36" s="44"/>
      <c r="U36" s="44"/>
      <c r="V36" s="44"/>
    </row>
    <row r="37" spans="1:22">
      <c r="A37" s="44"/>
      <c r="B37" s="44"/>
      <c r="C37" s="44"/>
      <c r="D37" s="44"/>
      <c r="E37" s="44"/>
      <c r="F37" s="44"/>
      <c r="G37" s="44"/>
      <c r="H37" s="44"/>
      <c r="I37" s="44"/>
      <c r="J37" s="44"/>
      <c r="K37" s="44"/>
      <c r="L37" s="44"/>
      <c r="M37" s="44"/>
      <c r="N37" s="44"/>
      <c r="O37" s="44"/>
      <c r="P37" s="44"/>
      <c r="Q37" s="44"/>
      <c r="R37" s="44"/>
      <c r="S37" s="44"/>
      <c r="T37" s="44"/>
      <c r="U37" s="44"/>
      <c r="V37" s="44"/>
    </row>
    <row r="38" spans="1:22">
      <c r="A38" s="44"/>
      <c r="B38" s="44"/>
      <c r="C38" s="44"/>
      <c r="D38" s="44"/>
      <c r="E38" s="44"/>
      <c r="F38" s="44"/>
      <c r="G38" s="44"/>
      <c r="H38" s="44"/>
      <c r="I38" s="44"/>
      <c r="J38" s="44"/>
      <c r="K38" s="44"/>
      <c r="L38" s="44"/>
      <c r="M38" s="44"/>
      <c r="N38" s="44"/>
      <c r="O38" s="44"/>
      <c r="P38" s="44"/>
      <c r="Q38" s="44"/>
      <c r="R38" s="44"/>
      <c r="S38" s="44"/>
      <c r="T38" s="44"/>
      <c r="U38" s="44"/>
      <c r="V38" s="44"/>
    </row>
    <row r="39" spans="1:22">
      <c r="A39" s="44"/>
      <c r="B39" s="44"/>
      <c r="C39" s="44"/>
      <c r="D39" s="44"/>
      <c r="E39" s="44"/>
      <c r="F39" s="44"/>
      <c r="G39" s="44"/>
      <c r="H39" s="44"/>
      <c r="I39" s="44"/>
      <c r="J39" s="44"/>
      <c r="K39" s="44"/>
      <c r="L39" s="44"/>
      <c r="M39" s="44"/>
      <c r="N39" s="44"/>
      <c r="O39" s="44"/>
      <c r="P39" s="44"/>
      <c r="Q39" s="44"/>
      <c r="R39" s="44"/>
      <c r="S39" s="44"/>
      <c r="T39" s="44"/>
      <c r="U39" s="44"/>
      <c r="V39" s="44"/>
    </row>
    <row r="40" spans="1:22">
      <c r="A40" s="44"/>
      <c r="B40" s="44"/>
      <c r="C40" s="44"/>
      <c r="D40" s="44"/>
      <c r="E40" s="44"/>
      <c r="F40" s="44"/>
      <c r="G40" s="44"/>
      <c r="H40" s="44"/>
      <c r="I40" s="44"/>
      <c r="J40" s="44"/>
      <c r="K40" s="44"/>
      <c r="L40" s="44"/>
      <c r="M40" s="44"/>
      <c r="N40" s="44"/>
      <c r="O40" s="44"/>
      <c r="P40" s="44"/>
      <c r="Q40" s="44"/>
      <c r="R40" s="44"/>
      <c r="S40" s="44"/>
      <c r="T40" s="44"/>
      <c r="U40" s="44"/>
      <c r="V40" s="44"/>
    </row>
    <row r="41" spans="1:22">
      <c r="A41" s="44"/>
      <c r="B41" s="44"/>
      <c r="C41" s="44"/>
      <c r="D41" s="44"/>
      <c r="E41" s="44"/>
      <c r="F41" s="44"/>
      <c r="G41" s="44"/>
      <c r="H41" s="44"/>
      <c r="I41" s="44"/>
      <c r="J41" s="44"/>
      <c r="K41" s="44"/>
      <c r="L41" s="44"/>
      <c r="M41" s="44"/>
      <c r="N41" s="44"/>
      <c r="O41" s="44"/>
      <c r="P41" s="44"/>
      <c r="Q41" s="44"/>
      <c r="R41" s="44"/>
      <c r="S41" s="44"/>
      <c r="T41" s="44"/>
      <c r="U41" s="44"/>
      <c r="V41" s="44"/>
    </row>
    <row r="42" spans="1:22">
      <c r="A42" s="44"/>
      <c r="B42" s="44"/>
      <c r="C42" s="44"/>
      <c r="D42" s="44"/>
      <c r="E42" s="44"/>
      <c r="F42" s="44"/>
      <c r="G42" s="44"/>
      <c r="H42" s="44"/>
      <c r="I42" s="44"/>
      <c r="J42" s="44"/>
      <c r="K42" s="44"/>
      <c r="L42" s="44"/>
      <c r="M42" s="44"/>
      <c r="N42" s="44"/>
      <c r="O42" s="44"/>
      <c r="P42" s="44"/>
      <c r="Q42" s="44"/>
      <c r="R42" s="44"/>
      <c r="S42" s="44"/>
      <c r="T42" s="44"/>
      <c r="U42" s="44"/>
      <c r="V42" s="44"/>
    </row>
    <row r="43" spans="1:22">
      <c r="A43" s="44"/>
      <c r="B43" s="44"/>
      <c r="C43" s="44"/>
      <c r="D43" s="44"/>
      <c r="E43" s="44"/>
      <c r="F43" s="44"/>
      <c r="G43" s="44"/>
      <c r="H43" s="44"/>
      <c r="I43" s="44"/>
      <c r="J43" s="44"/>
      <c r="K43" s="44"/>
      <c r="L43" s="44"/>
      <c r="M43" s="44"/>
      <c r="N43" s="44"/>
      <c r="O43" s="44"/>
      <c r="P43" s="44"/>
      <c r="Q43" s="44"/>
      <c r="R43" s="44"/>
      <c r="S43" s="44"/>
      <c r="T43" s="44"/>
      <c r="U43" s="44"/>
      <c r="V43" s="44"/>
    </row>
    <row r="44" spans="1:22">
      <c r="A44" s="44"/>
      <c r="B44" s="44"/>
      <c r="C44" s="44"/>
      <c r="D44" s="44"/>
      <c r="E44" s="44"/>
      <c r="F44" s="44"/>
      <c r="G44" s="44"/>
      <c r="H44" s="44"/>
      <c r="I44" s="44"/>
      <c r="J44" s="44"/>
      <c r="K44" s="44"/>
      <c r="L44" s="44"/>
      <c r="M44" s="44"/>
      <c r="N44" s="44"/>
      <c r="O44" s="44"/>
      <c r="P44" s="44"/>
      <c r="Q44" s="44"/>
      <c r="R44" s="44"/>
      <c r="S44" s="44"/>
      <c r="T44" s="44"/>
      <c r="U44" s="44"/>
      <c r="V44" s="44"/>
    </row>
    <row r="45" spans="1:22">
      <c r="A45" s="44"/>
      <c r="B45" s="44"/>
      <c r="C45" s="44"/>
      <c r="D45" s="44"/>
      <c r="E45" s="44"/>
      <c r="F45" s="44"/>
      <c r="G45" s="44"/>
      <c r="H45" s="44"/>
      <c r="I45" s="44"/>
      <c r="J45" s="44"/>
      <c r="K45" s="44"/>
      <c r="L45" s="44"/>
      <c r="M45" s="44"/>
      <c r="N45" s="44"/>
      <c r="O45" s="44"/>
      <c r="P45" s="44"/>
      <c r="Q45" s="44"/>
      <c r="R45" s="44"/>
      <c r="S45" s="44"/>
      <c r="T45" s="44"/>
      <c r="U45" s="44"/>
      <c r="V45" s="44"/>
    </row>
    <row r="46" spans="1:22">
      <c r="A46" s="44"/>
      <c r="B46" s="44"/>
      <c r="C46" s="44"/>
      <c r="D46" s="44"/>
      <c r="E46" s="44"/>
      <c r="F46" s="44"/>
      <c r="G46" s="44"/>
      <c r="H46" s="44"/>
      <c r="I46" s="44"/>
      <c r="J46" s="44"/>
      <c r="K46" s="44"/>
      <c r="L46" s="44"/>
      <c r="M46" s="44"/>
      <c r="N46" s="44"/>
      <c r="O46" s="44"/>
      <c r="P46" s="44"/>
      <c r="Q46" s="44"/>
      <c r="R46" s="44"/>
      <c r="S46" s="44"/>
      <c r="T46" s="44"/>
      <c r="U46" s="44"/>
      <c r="V46" s="44"/>
    </row>
    <row r="47" spans="1:22">
      <c r="A47" s="44"/>
      <c r="B47" s="44"/>
      <c r="C47" s="44"/>
      <c r="D47" s="44"/>
      <c r="E47" s="44"/>
      <c r="F47" s="44"/>
      <c r="G47" s="44"/>
      <c r="H47" s="44"/>
      <c r="I47" s="44"/>
      <c r="J47" s="44"/>
      <c r="K47" s="44"/>
      <c r="L47" s="44"/>
      <c r="M47" s="44"/>
      <c r="N47" s="44"/>
      <c r="O47" s="44"/>
      <c r="P47" s="44"/>
      <c r="Q47" s="44"/>
      <c r="R47" s="44"/>
      <c r="S47" s="44"/>
      <c r="T47" s="44"/>
      <c r="U47" s="44"/>
      <c r="V47" s="44"/>
    </row>
    <row r="48" spans="1:22">
      <c r="A48" s="44"/>
      <c r="B48" s="44"/>
      <c r="C48" s="44"/>
      <c r="D48" s="44"/>
      <c r="E48" s="44"/>
      <c r="F48" s="44"/>
      <c r="G48" s="44"/>
      <c r="H48" s="44"/>
      <c r="I48" s="44"/>
      <c r="J48" s="44"/>
      <c r="K48" s="44"/>
      <c r="L48" s="44"/>
      <c r="M48" s="44"/>
      <c r="N48" s="44"/>
      <c r="O48" s="44"/>
      <c r="P48" s="44"/>
      <c r="Q48" s="44"/>
      <c r="R48" s="44"/>
      <c r="S48" s="44"/>
      <c r="T48" s="44"/>
      <c r="U48" s="44"/>
      <c r="V48" s="44"/>
    </row>
    <row r="49" spans="1:22">
      <c r="A49" s="44"/>
      <c r="B49" s="44"/>
      <c r="C49" s="44"/>
      <c r="D49" s="44"/>
      <c r="E49" s="44"/>
      <c r="F49" s="44"/>
      <c r="G49" s="44"/>
      <c r="H49" s="44"/>
      <c r="I49" s="44"/>
      <c r="J49" s="44"/>
      <c r="K49" s="44"/>
      <c r="L49" s="44"/>
      <c r="M49" s="44"/>
      <c r="N49" s="44"/>
      <c r="O49" s="44"/>
      <c r="P49" s="44"/>
      <c r="Q49" s="44"/>
      <c r="R49" s="44"/>
      <c r="S49" s="44"/>
      <c r="T49" s="44"/>
      <c r="U49" s="44"/>
      <c r="V49" s="44"/>
    </row>
    <row r="50" spans="1:22">
      <c r="A50" s="44"/>
      <c r="B50" s="44"/>
      <c r="C50" s="44"/>
      <c r="D50" s="44"/>
      <c r="E50" s="44"/>
      <c r="F50" s="44"/>
      <c r="G50" s="44"/>
      <c r="H50" s="44"/>
      <c r="I50" s="44"/>
      <c r="J50" s="44"/>
      <c r="K50" s="44"/>
      <c r="L50" s="44"/>
      <c r="M50" s="44"/>
      <c r="N50" s="44"/>
      <c r="O50" s="44"/>
      <c r="P50" s="44"/>
      <c r="Q50" s="44"/>
      <c r="R50" s="44"/>
      <c r="S50" s="44"/>
      <c r="T50" s="44"/>
      <c r="U50" s="44"/>
      <c r="V50" s="44"/>
    </row>
    <row r="51" spans="1:22">
      <c r="A51" s="44"/>
      <c r="B51" s="44"/>
      <c r="C51" s="44"/>
      <c r="D51" s="44"/>
      <c r="E51" s="44"/>
      <c r="F51" s="44"/>
      <c r="G51" s="44"/>
      <c r="H51" s="44"/>
      <c r="I51" s="44"/>
      <c r="J51" s="44"/>
      <c r="K51" s="44"/>
      <c r="L51" s="44"/>
      <c r="M51" s="44"/>
      <c r="N51" s="44"/>
      <c r="O51" s="44"/>
      <c r="P51" s="44"/>
      <c r="Q51" s="44"/>
      <c r="R51" s="44"/>
      <c r="S51" s="44"/>
      <c r="T51" s="44"/>
      <c r="U51" s="44"/>
      <c r="V51" s="44"/>
    </row>
    <row r="52" spans="1:22">
      <c r="A52" s="44"/>
      <c r="B52" s="44"/>
      <c r="C52" s="44"/>
      <c r="D52" s="44"/>
      <c r="E52" s="44"/>
      <c r="F52" s="44"/>
      <c r="G52" s="44"/>
      <c r="H52" s="44"/>
      <c r="I52" s="44"/>
      <c r="J52" s="44"/>
      <c r="K52" s="44"/>
      <c r="L52" s="44"/>
      <c r="M52" s="44"/>
      <c r="N52" s="44"/>
      <c r="O52" s="44"/>
      <c r="P52" s="44"/>
      <c r="Q52" s="44"/>
      <c r="R52" s="44"/>
      <c r="S52" s="44"/>
      <c r="T52" s="44"/>
      <c r="U52" s="44"/>
      <c r="V52" s="44"/>
    </row>
    <row r="53" spans="1:22">
      <c r="A53" s="44"/>
      <c r="B53" s="44"/>
      <c r="C53" s="44"/>
      <c r="D53" s="44"/>
      <c r="E53" s="44"/>
      <c r="F53" s="44"/>
      <c r="G53" s="44"/>
      <c r="H53" s="44"/>
      <c r="I53" s="44"/>
      <c r="J53" s="44"/>
      <c r="K53" s="44"/>
      <c r="L53" s="44"/>
      <c r="M53" s="44"/>
      <c r="N53" s="44"/>
      <c r="O53" s="44"/>
      <c r="P53" s="44"/>
      <c r="Q53" s="44"/>
      <c r="R53" s="44"/>
      <c r="S53" s="44"/>
      <c r="T53" s="44"/>
      <c r="U53" s="44"/>
      <c r="V53" s="44"/>
    </row>
    <row r="54" spans="1:22">
      <c r="A54" s="44"/>
      <c r="B54" s="44"/>
      <c r="C54" s="44"/>
      <c r="D54" s="44"/>
      <c r="E54" s="44"/>
      <c r="F54" s="44"/>
      <c r="G54" s="44"/>
      <c r="H54" s="44"/>
      <c r="I54" s="44"/>
      <c r="J54" s="44"/>
      <c r="K54" s="44"/>
      <c r="L54" s="44"/>
      <c r="M54" s="44"/>
      <c r="N54" s="44"/>
      <c r="O54" s="44"/>
      <c r="P54" s="44"/>
      <c r="Q54" s="44"/>
      <c r="R54" s="44"/>
      <c r="S54" s="44"/>
      <c r="T54" s="44"/>
      <c r="U54" s="44"/>
      <c r="V54" s="44"/>
    </row>
    <row r="55" spans="1:22">
      <c r="A55" s="44"/>
      <c r="B55" s="44"/>
      <c r="C55" s="44"/>
      <c r="D55" s="44"/>
      <c r="E55" s="44"/>
      <c r="F55" s="44"/>
      <c r="G55" s="44"/>
      <c r="H55" s="44"/>
      <c r="I55" s="44"/>
      <c r="J55" s="44"/>
      <c r="K55" s="44"/>
      <c r="L55" s="44"/>
      <c r="M55" s="44"/>
      <c r="N55" s="44"/>
      <c r="O55" s="44"/>
      <c r="P55" s="44"/>
      <c r="Q55" s="44"/>
      <c r="R55" s="44"/>
      <c r="S55" s="44"/>
      <c r="T55" s="44"/>
      <c r="U55" s="44"/>
      <c r="V55" s="44"/>
    </row>
    <row r="56" spans="1:22">
      <c r="A56" s="44"/>
      <c r="B56" s="44"/>
      <c r="C56" s="44"/>
      <c r="D56" s="44"/>
      <c r="E56" s="44"/>
      <c r="F56" s="44"/>
      <c r="G56" s="44"/>
      <c r="H56" s="44"/>
      <c r="I56" s="44"/>
      <c r="J56" s="44"/>
      <c r="K56" s="44"/>
      <c r="L56" s="44"/>
      <c r="M56" s="44"/>
      <c r="N56" s="44"/>
      <c r="O56" s="44"/>
      <c r="P56" s="44"/>
      <c r="Q56" s="44"/>
      <c r="R56" s="44"/>
      <c r="S56" s="44"/>
      <c r="T56" s="44"/>
      <c r="U56" s="44"/>
      <c r="V56" s="44"/>
    </row>
    <row r="57" spans="1:22">
      <c r="A57" s="44"/>
      <c r="B57" s="44"/>
      <c r="C57" s="44"/>
      <c r="D57" s="44"/>
      <c r="E57" s="44"/>
      <c r="F57" s="44"/>
      <c r="G57" s="44"/>
      <c r="H57" s="44"/>
      <c r="I57" s="44"/>
      <c r="J57" s="44"/>
      <c r="K57" s="44"/>
      <c r="L57" s="44"/>
      <c r="M57" s="44"/>
      <c r="N57" s="44"/>
      <c r="O57" s="44"/>
      <c r="P57" s="44"/>
      <c r="Q57" s="44"/>
      <c r="R57" s="44"/>
      <c r="S57" s="44"/>
      <c r="T57" s="44"/>
      <c r="U57" s="44"/>
      <c r="V57" s="44"/>
    </row>
    <row r="58" spans="1:22">
      <c r="A58" s="44"/>
      <c r="B58" s="44"/>
      <c r="C58" s="44"/>
      <c r="D58" s="44"/>
      <c r="E58" s="44"/>
      <c r="F58" s="44"/>
      <c r="G58" s="44"/>
      <c r="H58" s="44"/>
      <c r="I58" s="44"/>
      <c r="J58" s="44"/>
      <c r="K58" s="44"/>
      <c r="L58" s="44"/>
      <c r="M58" s="44"/>
      <c r="N58" s="44"/>
      <c r="O58" s="44"/>
      <c r="P58" s="44"/>
      <c r="Q58" s="44"/>
      <c r="R58" s="44"/>
      <c r="S58" s="44"/>
      <c r="T58" s="44"/>
      <c r="U58" s="44"/>
      <c r="V58" s="44"/>
    </row>
    <row r="59" spans="1:22">
      <c r="A59" s="44"/>
      <c r="B59" s="44"/>
      <c r="C59" s="44"/>
      <c r="D59" s="44"/>
      <c r="E59" s="44"/>
      <c r="F59" s="44"/>
      <c r="G59" s="44"/>
      <c r="H59" s="44"/>
      <c r="I59" s="44"/>
      <c r="J59" s="44"/>
      <c r="K59" s="44"/>
      <c r="L59" s="44"/>
      <c r="M59" s="44"/>
      <c r="N59" s="44"/>
      <c r="O59" s="44"/>
      <c r="P59" s="44"/>
      <c r="Q59" s="44"/>
      <c r="R59" s="44"/>
      <c r="S59" s="44"/>
      <c r="T59" s="44"/>
      <c r="U59" s="44"/>
      <c r="V59" s="44"/>
    </row>
    <row r="60" spans="1:22">
      <c r="A60" s="44"/>
      <c r="B60" s="44"/>
      <c r="C60" s="44"/>
      <c r="D60" s="44"/>
      <c r="E60" s="44"/>
      <c r="F60" s="44"/>
      <c r="G60" s="44"/>
      <c r="H60" s="44"/>
      <c r="I60" s="44"/>
      <c r="J60" s="44"/>
      <c r="K60" s="44"/>
      <c r="L60" s="44"/>
      <c r="M60" s="44"/>
      <c r="N60" s="44"/>
      <c r="O60" s="44"/>
      <c r="P60" s="44"/>
      <c r="Q60" s="44"/>
      <c r="R60" s="44"/>
      <c r="S60" s="44"/>
      <c r="T60" s="44"/>
      <c r="U60" s="44"/>
      <c r="V60" s="44"/>
    </row>
    <row r="61" spans="1:22">
      <c r="A61" s="44"/>
      <c r="B61" s="44"/>
      <c r="C61" s="44"/>
      <c r="D61" s="44"/>
      <c r="E61" s="44"/>
      <c r="F61" s="44"/>
      <c r="G61" s="44"/>
      <c r="H61" s="44"/>
      <c r="I61" s="44"/>
      <c r="J61" s="44"/>
      <c r="K61" s="44"/>
      <c r="L61" s="44"/>
      <c r="M61" s="44"/>
      <c r="N61" s="44"/>
      <c r="O61" s="44"/>
      <c r="P61" s="44"/>
      <c r="Q61" s="44"/>
      <c r="R61" s="44"/>
      <c r="S61" s="44"/>
      <c r="T61" s="44"/>
      <c r="U61" s="44"/>
      <c r="V61" s="44"/>
    </row>
    <row r="62" spans="1:22">
      <c r="A62" s="44"/>
      <c r="B62" s="44"/>
      <c r="C62" s="44"/>
      <c r="D62" s="44"/>
      <c r="E62" s="44"/>
      <c r="F62" s="44"/>
      <c r="G62" s="44"/>
      <c r="H62" s="44"/>
      <c r="I62" s="44"/>
      <c r="J62" s="44"/>
      <c r="K62" s="44"/>
      <c r="L62" s="44"/>
      <c r="M62" s="44"/>
      <c r="N62" s="44"/>
      <c r="O62" s="44"/>
      <c r="P62" s="44"/>
      <c r="Q62" s="44"/>
      <c r="R62" s="44"/>
      <c r="S62" s="44"/>
      <c r="T62" s="44"/>
      <c r="U62" s="44"/>
      <c r="V62" s="44"/>
    </row>
    <row r="63" spans="1:22">
      <c r="A63" s="44"/>
      <c r="B63" s="44"/>
      <c r="C63" s="44"/>
      <c r="D63" s="44"/>
      <c r="E63" s="44"/>
      <c r="F63" s="44"/>
      <c r="G63" s="44"/>
      <c r="H63" s="44"/>
      <c r="I63" s="44"/>
      <c r="J63" s="44"/>
      <c r="K63" s="44"/>
      <c r="L63" s="44"/>
      <c r="M63" s="44"/>
      <c r="N63" s="44"/>
      <c r="O63" s="44"/>
      <c r="P63" s="44"/>
      <c r="Q63" s="44"/>
      <c r="R63" s="44"/>
      <c r="S63" s="44"/>
      <c r="T63" s="44"/>
      <c r="U63" s="44"/>
      <c r="V63" s="44"/>
    </row>
    <row r="64" spans="1:22">
      <c r="A64" s="44"/>
      <c r="B64" s="44"/>
      <c r="C64" s="44"/>
      <c r="D64" s="44"/>
      <c r="E64" s="44"/>
      <c r="F64" s="44"/>
      <c r="G64" s="44"/>
      <c r="H64" s="44"/>
      <c r="I64" s="44"/>
      <c r="J64" s="44"/>
      <c r="K64" s="44"/>
      <c r="L64" s="44"/>
      <c r="M64" s="44"/>
      <c r="N64" s="44"/>
      <c r="O64" s="44"/>
      <c r="P64" s="44"/>
      <c r="Q64" s="44"/>
      <c r="R64" s="44"/>
      <c r="S64" s="44"/>
      <c r="T64" s="44"/>
      <c r="U64" s="44"/>
      <c r="V64" s="44"/>
    </row>
    <row r="65" spans="1:22">
      <c r="A65" s="44"/>
      <c r="B65" s="44"/>
      <c r="C65" s="44"/>
      <c r="D65" s="44"/>
      <c r="E65" s="44"/>
      <c r="F65" s="44"/>
      <c r="G65" s="44"/>
      <c r="H65" s="44"/>
      <c r="I65" s="44"/>
      <c r="J65" s="44"/>
      <c r="K65" s="44"/>
      <c r="L65" s="44"/>
      <c r="M65" s="44"/>
      <c r="N65" s="44"/>
      <c r="O65" s="44"/>
      <c r="P65" s="44"/>
      <c r="Q65" s="44"/>
      <c r="R65" s="44"/>
      <c r="S65" s="44"/>
      <c r="T65" s="44"/>
      <c r="U65" s="44"/>
      <c r="V65" s="44"/>
    </row>
    <row r="66" spans="1:22">
      <c r="A66" s="44"/>
      <c r="B66" s="44"/>
      <c r="C66" s="44"/>
      <c r="D66" s="44"/>
      <c r="E66" s="44"/>
      <c r="F66" s="44"/>
      <c r="G66" s="44"/>
      <c r="H66" s="44"/>
      <c r="I66" s="44"/>
      <c r="J66" s="44"/>
      <c r="K66" s="44"/>
      <c r="L66" s="44"/>
      <c r="M66" s="44"/>
      <c r="N66" s="44"/>
      <c r="O66" s="44"/>
      <c r="P66" s="44"/>
      <c r="Q66" s="44"/>
      <c r="R66" s="44"/>
      <c r="S66" s="44"/>
      <c r="T66" s="44"/>
      <c r="U66" s="44"/>
      <c r="V66" s="44"/>
    </row>
    <row r="67" spans="1:22">
      <c r="A67" s="44"/>
      <c r="B67" s="44"/>
      <c r="C67" s="44"/>
      <c r="D67" s="44"/>
      <c r="E67" s="44"/>
      <c r="F67" s="44"/>
      <c r="G67" s="44"/>
      <c r="H67" s="44"/>
      <c r="I67" s="44"/>
      <c r="J67" s="44"/>
      <c r="K67" s="44"/>
      <c r="L67" s="44"/>
      <c r="M67" s="44"/>
      <c r="N67" s="44"/>
      <c r="O67" s="44"/>
      <c r="P67" s="44"/>
      <c r="Q67" s="44"/>
      <c r="R67" s="44"/>
      <c r="S67" s="44"/>
      <c r="T67" s="44"/>
      <c r="U67" s="44"/>
      <c r="V67" s="44"/>
    </row>
    <row r="68" spans="1:22">
      <c r="A68" s="44"/>
      <c r="B68" s="44"/>
      <c r="C68" s="44"/>
      <c r="D68" s="44"/>
      <c r="E68" s="44"/>
      <c r="F68" s="44"/>
      <c r="G68" s="44"/>
      <c r="H68" s="44"/>
      <c r="I68" s="44"/>
      <c r="J68" s="44"/>
      <c r="K68" s="44"/>
      <c r="L68" s="44"/>
      <c r="M68" s="44"/>
      <c r="N68" s="44"/>
      <c r="O68" s="44"/>
      <c r="P68" s="44"/>
      <c r="Q68" s="44"/>
      <c r="R68" s="44"/>
      <c r="S68" s="44"/>
      <c r="T68" s="44"/>
      <c r="U68" s="44"/>
      <c r="V68" s="44"/>
    </row>
    <row r="69" spans="1:22">
      <c r="A69" s="44"/>
      <c r="B69" s="44"/>
      <c r="C69" s="44"/>
      <c r="D69" s="44"/>
      <c r="E69" s="44"/>
      <c r="F69" s="44"/>
      <c r="G69" s="44"/>
      <c r="H69" s="44"/>
      <c r="I69" s="44"/>
      <c r="J69" s="44"/>
      <c r="K69" s="44"/>
      <c r="L69" s="44"/>
      <c r="M69" s="44"/>
      <c r="N69" s="44"/>
      <c r="O69" s="44"/>
      <c r="P69" s="44"/>
      <c r="Q69" s="44"/>
      <c r="R69" s="44"/>
      <c r="S69" s="44"/>
      <c r="T69" s="44"/>
      <c r="U69" s="44"/>
      <c r="V69" s="44"/>
    </row>
    <row r="70" spans="1:22">
      <c r="A70" s="44"/>
      <c r="B70" s="44"/>
      <c r="C70" s="44"/>
      <c r="D70" s="44"/>
      <c r="E70" s="44"/>
      <c r="F70" s="44"/>
      <c r="G70" s="44"/>
      <c r="H70" s="44"/>
      <c r="I70" s="44"/>
      <c r="J70" s="44"/>
      <c r="K70" s="44"/>
      <c r="L70" s="44"/>
      <c r="M70" s="44"/>
      <c r="N70" s="44"/>
      <c r="O70" s="44"/>
      <c r="P70" s="44"/>
      <c r="Q70" s="44"/>
      <c r="R70" s="44"/>
      <c r="S70" s="44"/>
      <c r="T70" s="44"/>
      <c r="U70" s="44"/>
      <c r="V70" s="44"/>
    </row>
    <row r="71" spans="1:22">
      <c r="A71" s="44"/>
      <c r="B71" s="44"/>
      <c r="C71" s="44"/>
      <c r="D71" s="44"/>
      <c r="E71" s="44"/>
      <c r="F71" s="44"/>
      <c r="G71" s="44"/>
      <c r="H71" s="44"/>
      <c r="I71" s="44"/>
      <c r="J71" s="44"/>
      <c r="K71" s="44"/>
      <c r="L71" s="44"/>
      <c r="M71" s="44"/>
      <c r="N71" s="44"/>
      <c r="O71" s="44"/>
      <c r="P71" s="44"/>
      <c r="Q71" s="44"/>
      <c r="R71" s="44"/>
      <c r="S71" s="44"/>
      <c r="T71" s="44"/>
      <c r="U71" s="44"/>
      <c r="V71" s="44"/>
    </row>
    <row r="72" spans="1:22">
      <c r="A72" s="44"/>
      <c r="B72" s="44"/>
      <c r="C72" s="44"/>
      <c r="D72" s="44"/>
      <c r="E72" s="44"/>
      <c r="F72" s="44"/>
      <c r="G72" s="44"/>
      <c r="H72" s="44"/>
      <c r="I72" s="44"/>
      <c r="J72" s="44"/>
      <c r="K72" s="44"/>
      <c r="L72" s="44"/>
      <c r="M72" s="44"/>
      <c r="N72" s="44"/>
      <c r="O72" s="44"/>
      <c r="P72" s="44"/>
      <c r="Q72" s="44"/>
      <c r="R72" s="44"/>
      <c r="S72" s="44"/>
      <c r="T72" s="44"/>
      <c r="U72" s="44"/>
      <c r="V72" s="44"/>
    </row>
    <row r="73" spans="1:22">
      <c r="A73" s="44"/>
      <c r="B73" s="44"/>
      <c r="C73" s="44"/>
      <c r="D73" s="44"/>
      <c r="E73" s="44"/>
      <c r="F73" s="44"/>
      <c r="G73" s="44"/>
      <c r="H73" s="44"/>
      <c r="I73" s="44"/>
      <c r="J73" s="44"/>
      <c r="K73" s="44"/>
      <c r="L73" s="44"/>
      <c r="M73" s="44"/>
      <c r="N73" s="44"/>
      <c r="O73" s="44"/>
      <c r="P73" s="44"/>
      <c r="Q73" s="44"/>
      <c r="R73" s="44"/>
      <c r="S73" s="44"/>
      <c r="T73" s="44"/>
      <c r="U73" s="44"/>
      <c r="V73" s="44"/>
    </row>
    <row r="74" spans="1:22">
      <c r="A74" s="44"/>
      <c r="B74" s="44"/>
      <c r="C74" s="44"/>
      <c r="D74" s="44"/>
      <c r="E74" s="44"/>
      <c r="F74" s="44"/>
      <c r="G74" s="44"/>
      <c r="H74" s="44"/>
      <c r="I74" s="44"/>
      <c r="J74" s="44"/>
      <c r="K74" s="44"/>
      <c r="L74" s="44"/>
      <c r="M74" s="44"/>
      <c r="N74" s="44"/>
      <c r="O74" s="44"/>
      <c r="P74" s="44"/>
      <c r="Q74" s="44"/>
      <c r="R74" s="44"/>
      <c r="S74" s="44"/>
      <c r="T74" s="44"/>
      <c r="U74" s="44"/>
      <c r="V74" s="44"/>
    </row>
    <row r="75" spans="1:22">
      <c r="A75" s="44"/>
      <c r="B75" s="44"/>
      <c r="C75" s="44"/>
      <c r="D75" s="44"/>
      <c r="E75" s="44"/>
      <c r="F75" s="44"/>
      <c r="G75" s="44"/>
      <c r="H75" s="44"/>
      <c r="I75" s="44"/>
      <c r="J75" s="44"/>
      <c r="K75" s="44"/>
      <c r="L75" s="44"/>
      <c r="M75" s="44"/>
      <c r="N75" s="44"/>
      <c r="O75" s="44"/>
      <c r="P75" s="44"/>
      <c r="Q75" s="44"/>
      <c r="R75" s="44"/>
      <c r="S75" s="44"/>
      <c r="T75" s="44"/>
      <c r="U75" s="44"/>
      <c r="V75" s="44"/>
    </row>
    <row r="76" spans="1:22">
      <c r="A76" s="44"/>
      <c r="B76" s="44"/>
      <c r="C76" s="44"/>
      <c r="D76" s="44"/>
      <c r="E76" s="44"/>
      <c r="F76" s="44"/>
      <c r="G76" s="44"/>
      <c r="H76" s="44"/>
      <c r="I76" s="44"/>
      <c r="J76" s="44"/>
      <c r="K76" s="44"/>
      <c r="L76" s="44"/>
      <c r="M76" s="44"/>
      <c r="N76" s="44"/>
      <c r="O76" s="44"/>
      <c r="P76" s="44"/>
      <c r="Q76" s="44"/>
      <c r="R76" s="44"/>
      <c r="S76" s="44"/>
      <c r="T76" s="44"/>
      <c r="U76" s="44"/>
      <c r="V76" s="44"/>
    </row>
    <row r="77" spans="1:22">
      <c r="A77" s="44"/>
      <c r="B77" s="44"/>
      <c r="C77" s="44"/>
      <c r="D77" s="44"/>
      <c r="E77" s="44"/>
      <c r="F77" s="44"/>
      <c r="G77" s="44"/>
      <c r="H77" s="44"/>
      <c r="I77" s="44"/>
      <c r="J77" s="44"/>
      <c r="K77" s="44"/>
      <c r="L77" s="44"/>
      <c r="M77" s="44"/>
      <c r="N77" s="44"/>
      <c r="O77" s="44"/>
      <c r="P77" s="44"/>
      <c r="Q77" s="44"/>
      <c r="R77" s="44"/>
      <c r="S77" s="44"/>
      <c r="T77" s="44"/>
      <c r="U77" s="44"/>
      <c r="V77" s="44"/>
    </row>
    <row r="78" spans="1:22">
      <c r="A78" s="44"/>
      <c r="B78" s="44"/>
      <c r="C78" s="44"/>
      <c r="D78" s="44"/>
      <c r="E78" s="44"/>
      <c r="F78" s="44"/>
      <c r="G78" s="44"/>
      <c r="H78" s="44"/>
      <c r="I78" s="44"/>
      <c r="J78" s="44"/>
      <c r="K78" s="44"/>
      <c r="L78" s="44"/>
      <c r="M78" s="44"/>
      <c r="N78" s="44"/>
      <c r="O78" s="44"/>
      <c r="P78" s="44"/>
      <c r="Q78" s="44"/>
      <c r="R78" s="44"/>
      <c r="S78" s="44"/>
      <c r="T78" s="44"/>
      <c r="U78" s="44"/>
      <c r="V78" s="44"/>
    </row>
    <row r="79" spans="1:22">
      <c r="A79" s="44"/>
      <c r="B79" s="44"/>
      <c r="C79" s="44"/>
      <c r="D79" s="44"/>
      <c r="E79" s="44"/>
      <c r="F79" s="44"/>
      <c r="G79" s="44"/>
      <c r="H79" s="44"/>
      <c r="I79" s="44"/>
      <c r="J79" s="44"/>
      <c r="K79" s="44"/>
      <c r="L79" s="44"/>
      <c r="M79" s="44"/>
      <c r="N79" s="44"/>
      <c r="O79" s="44"/>
      <c r="P79" s="44"/>
      <c r="Q79" s="44"/>
      <c r="R79" s="44"/>
      <c r="S79" s="44"/>
      <c r="T79" s="44"/>
      <c r="U79" s="44"/>
      <c r="V79" s="44"/>
    </row>
    <row r="80" spans="1:22">
      <c r="A80" s="44"/>
      <c r="B80" s="44"/>
      <c r="C80" s="44"/>
      <c r="D80" s="44"/>
      <c r="E80" s="44"/>
      <c r="F80" s="44"/>
      <c r="G80" s="44"/>
      <c r="H80" s="44"/>
      <c r="I80" s="44"/>
      <c r="J80" s="44"/>
      <c r="K80" s="44"/>
      <c r="L80" s="44"/>
      <c r="M80" s="44"/>
      <c r="N80" s="44"/>
      <c r="O80" s="44"/>
      <c r="P80" s="44"/>
      <c r="Q80" s="44"/>
      <c r="R80" s="44"/>
      <c r="S80" s="44"/>
      <c r="T80" s="44"/>
      <c r="U80" s="44"/>
      <c r="V80" s="44"/>
    </row>
  </sheetData>
  <mergeCells count="1">
    <mergeCell ref="A1:C1"/>
  </mergeCells>
  <phoneticPr fontId="0" type="noConversion"/>
  <pageMargins left="0.75" right="0.75" top="1" bottom="1" header="0.5" footer="0.5"/>
  <pageSetup orientation="portrait"/>
  <legacyDrawing r:id="rId1"/>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enableFormatConditionsCalculation="0"/>
  <dimension ref="A1:R90"/>
  <sheetViews>
    <sheetView topLeftCell="A4" workbookViewId="0">
      <selection activeCell="C4" sqref="C4"/>
    </sheetView>
  </sheetViews>
  <sheetFormatPr baseColWidth="10" defaultColWidth="9.1640625" defaultRowHeight="12" x14ac:dyDescent="0"/>
  <cols>
    <col min="1" max="2" width="9.1640625" style="105"/>
    <col min="3" max="3" width="157.83203125" style="105" customWidth="1"/>
    <col min="4" max="13" width="9.1640625" style="105"/>
    <col min="14" max="14" width="3" style="105" customWidth="1"/>
    <col min="15" max="15" width="9.1640625" style="105"/>
    <col min="16" max="16" width="2.6640625" style="105" customWidth="1"/>
    <col min="17" max="17" width="10" style="105" customWidth="1"/>
    <col min="18" max="16384" width="9.1640625" style="105"/>
  </cols>
  <sheetData>
    <row r="1" spans="1:18">
      <c r="A1" s="105" t="s">
        <v>946</v>
      </c>
    </row>
    <row r="4" spans="1:18">
      <c r="A4" s="105">
        <v>1</v>
      </c>
      <c r="B4" s="105" t="s">
        <v>709</v>
      </c>
      <c r="C4" s="105" t="str">
        <f t="shared" ref="C4:C35" si="0">K4&amp;" "&amp;L4&amp;" "&amp;M4&amp;"   "&amp;N4&amp;O4&amp;P4&amp;" "&amp;Q4&amp;R4</f>
        <v xml:space="preserve">Output     (Agriculture) </v>
      </c>
      <c r="K4" s="105" t="s">
        <v>947</v>
      </c>
      <c r="N4" s="105" t="s">
        <v>991</v>
      </c>
      <c r="O4" s="105" t="s">
        <v>948</v>
      </c>
      <c r="P4" s="105" t="s">
        <v>993</v>
      </c>
    </row>
    <row r="5" spans="1:18">
      <c r="A5" s="105">
        <v>2</v>
      </c>
      <c r="B5" s="105" t="s">
        <v>49</v>
      </c>
      <c r="C5" s="105" t="str">
        <f t="shared" si="0"/>
        <v xml:space="preserve">Output     (Other) </v>
      </c>
      <c r="K5" s="105" t="s">
        <v>947</v>
      </c>
      <c r="N5" s="105" t="s">
        <v>991</v>
      </c>
      <c r="O5" s="105" t="s">
        <v>949</v>
      </c>
      <c r="P5" s="105" t="s">
        <v>993</v>
      </c>
    </row>
    <row r="6" spans="1:18">
      <c r="A6" s="105">
        <v>3</v>
      </c>
      <c r="B6" s="105" t="s">
        <v>712</v>
      </c>
      <c r="C6" s="105" t="str">
        <f t="shared" si="0"/>
        <v xml:space="preserve">Labor   Demand    (Agriculture) </v>
      </c>
      <c r="K6" s="105" t="s">
        <v>950</v>
      </c>
      <c r="L6" s="105" t="s">
        <v>951</v>
      </c>
      <c r="N6" s="105" t="s">
        <v>991</v>
      </c>
      <c r="O6" s="105" t="s">
        <v>948</v>
      </c>
      <c r="P6" s="105" t="s">
        <v>993</v>
      </c>
    </row>
    <row r="7" spans="1:18">
      <c r="A7" s="105">
        <v>4</v>
      </c>
      <c r="B7" s="105" t="s">
        <v>50</v>
      </c>
      <c r="C7" s="105" t="str">
        <f t="shared" si="0"/>
        <v xml:space="preserve">Labor   Demand    (Other) </v>
      </c>
      <c r="K7" s="105" t="s">
        <v>950</v>
      </c>
      <c r="L7" s="105" t="s">
        <v>951</v>
      </c>
      <c r="N7" s="105" t="s">
        <v>991</v>
      </c>
      <c r="O7" s="105" t="s">
        <v>949</v>
      </c>
      <c r="P7" s="105" t="s">
        <v>993</v>
      </c>
    </row>
    <row r="8" spans="1:18">
      <c r="A8" s="105">
        <v>5</v>
      </c>
      <c r="B8" s="105" t="s">
        <v>714</v>
      </c>
      <c r="C8" s="105" t="str">
        <f t="shared" si="0"/>
        <v xml:space="preserve">Capital Demand    (Agriculture) </v>
      </c>
      <c r="K8" s="105" t="s">
        <v>183</v>
      </c>
      <c r="L8" s="105" t="s">
        <v>951</v>
      </c>
      <c r="N8" s="105" t="s">
        <v>991</v>
      </c>
      <c r="O8" s="105" t="s">
        <v>948</v>
      </c>
      <c r="P8" s="105" t="s">
        <v>993</v>
      </c>
    </row>
    <row r="9" spans="1:18">
      <c r="A9" s="105">
        <v>6</v>
      </c>
      <c r="B9" s="105" t="s">
        <v>51</v>
      </c>
      <c r="C9" s="105" t="str">
        <f t="shared" si="0"/>
        <v xml:space="preserve">Capital Demand    (Other) </v>
      </c>
      <c r="K9" s="105" t="s">
        <v>183</v>
      </c>
      <c r="L9" s="105" t="s">
        <v>951</v>
      </c>
      <c r="N9" s="105" t="s">
        <v>991</v>
      </c>
      <c r="O9" s="105" t="s">
        <v>949</v>
      </c>
      <c r="P9" s="105" t="s">
        <v>993</v>
      </c>
    </row>
    <row r="10" spans="1:18">
      <c r="A10" s="105">
        <v>7</v>
      </c>
      <c r="B10" s="105" t="s">
        <v>716</v>
      </c>
      <c r="C10" s="105" t="str">
        <f t="shared" si="0"/>
        <v xml:space="preserve">Final Demand    (Agriculture) </v>
      </c>
      <c r="K10" s="105" t="s">
        <v>952</v>
      </c>
      <c r="L10" s="105" t="s">
        <v>951</v>
      </c>
      <c r="N10" s="105" t="s">
        <v>991</v>
      </c>
      <c r="O10" s="105" t="s">
        <v>948</v>
      </c>
      <c r="P10" s="105" t="s">
        <v>993</v>
      </c>
    </row>
    <row r="11" spans="1:18">
      <c r="A11" s="105">
        <v>8</v>
      </c>
      <c r="B11" s="105" t="s">
        <v>692</v>
      </c>
      <c r="C11" s="105" t="str">
        <f t="shared" si="0"/>
        <v xml:space="preserve">Final Demand    (Other) </v>
      </c>
      <c r="K11" s="105" t="s">
        <v>952</v>
      </c>
      <c r="L11" s="105" t="s">
        <v>951</v>
      </c>
      <c r="N11" s="105" t="s">
        <v>991</v>
      </c>
      <c r="O11" s="105" t="s">
        <v>949</v>
      </c>
      <c r="P11" s="105" t="s">
        <v>993</v>
      </c>
    </row>
    <row r="12" spans="1:18">
      <c r="A12" s="105">
        <v>9</v>
      </c>
      <c r="B12" s="105" t="s">
        <v>717</v>
      </c>
      <c r="C12" s="105" t="str">
        <f t="shared" si="0"/>
        <v>Intermediate Demand    (Agriculture, Agriculture)</v>
      </c>
      <c r="K12" s="105" t="s">
        <v>953</v>
      </c>
      <c r="L12" s="105" t="s">
        <v>951</v>
      </c>
      <c r="N12" s="105" t="s">
        <v>991</v>
      </c>
      <c r="O12" s="105" t="s">
        <v>948</v>
      </c>
      <c r="P12" s="105" t="s">
        <v>992</v>
      </c>
      <c r="Q12" s="105" t="s">
        <v>948</v>
      </c>
      <c r="R12" s="105" t="s">
        <v>993</v>
      </c>
    </row>
    <row r="13" spans="1:18">
      <c r="A13" s="105">
        <v>10</v>
      </c>
      <c r="B13" s="105" t="s">
        <v>719</v>
      </c>
      <c r="C13" s="105" t="str">
        <f t="shared" si="0"/>
        <v>Intermediate Demand    (Agriculture, Other)</v>
      </c>
      <c r="K13" s="105" t="s">
        <v>953</v>
      </c>
      <c r="L13" s="105" t="s">
        <v>951</v>
      </c>
      <c r="N13" s="105" t="s">
        <v>991</v>
      </c>
      <c r="O13" s="105" t="s">
        <v>948</v>
      </c>
      <c r="P13" s="105" t="s">
        <v>992</v>
      </c>
      <c r="Q13" s="105" t="s">
        <v>949</v>
      </c>
      <c r="R13" s="105" t="s">
        <v>993</v>
      </c>
    </row>
    <row r="14" spans="1:18">
      <c r="A14" s="105">
        <v>11</v>
      </c>
      <c r="B14" s="105" t="s">
        <v>721</v>
      </c>
      <c r="C14" s="105" t="str">
        <f t="shared" si="0"/>
        <v>Intermediate Demand    (Other, Agriculture)</v>
      </c>
      <c r="K14" s="105" t="s">
        <v>953</v>
      </c>
      <c r="L14" s="105" t="s">
        <v>951</v>
      </c>
      <c r="N14" s="105" t="s">
        <v>991</v>
      </c>
      <c r="O14" s="105" t="s">
        <v>949</v>
      </c>
      <c r="P14" s="105" t="s">
        <v>992</v>
      </c>
      <c r="Q14" s="105" t="s">
        <v>948</v>
      </c>
      <c r="R14" s="105" t="s">
        <v>993</v>
      </c>
    </row>
    <row r="15" spans="1:18">
      <c r="A15" s="105">
        <v>12</v>
      </c>
      <c r="B15" s="105" t="s">
        <v>52</v>
      </c>
      <c r="C15" s="105" t="str">
        <f t="shared" si="0"/>
        <v>Intermediate Demand    (Other, Other)</v>
      </c>
      <c r="K15" s="105" t="s">
        <v>953</v>
      </c>
      <c r="L15" s="105" t="s">
        <v>951</v>
      </c>
      <c r="N15" s="105" t="s">
        <v>991</v>
      </c>
      <c r="O15" s="105" t="s">
        <v>949</v>
      </c>
      <c r="P15" s="105" t="s">
        <v>992</v>
      </c>
      <c r="Q15" s="105" t="s">
        <v>949</v>
      </c>
      <c r="R15" s="105" t="s">
        <v>993</v>
      </c>
    </row>
    <row r="16" spans="1:18">
      <c r="A16" s="105">
        <v>13</v>
      </c>
      <c r="B16" s="105" t="s">
        <v>53</v>
      </c>
      <c r="C16" s="105" t="str">
        <f t="shared" si="0"/>
        <v xml:space="preserve">Average Wage     </v>
      </c>
      <c r="K16" s="105" t="s">
        <v>954</v>
      </c>
      <c r="L16" s="105" t="s">
        <v>955</v>
      </c>
    </row>
    <row r="17" spans="1:16">
      <c r="A17" s="105">
        <v>14</v>
      </c>
      <c r="B17" s="105" t="s">
        <v>723</v>
      </c>
      <c r="C17" s="105" t="str">
        <f t="shared" si="0"/>
        <v xml:space="preserve">Rental     (Agriculture) </v>
      </c>
      <c r="K17" s="105" t="s">
        <v>956</v>
      </c>
      <c r="N17" s="105" t="s">
        <v>991</v>
      </c>
      <c r="O17" s="105" t="s">
        <v>948</v>
      </c>
      <c r="P17" s="105" t="s">
        <v>993</v>
      </c>
    </row>
    <row r="18" spans="1:16">
      <c r="A18" s="105">
        <v>15</v>
      </c>
      <c r="B18" s="105" t="s">
        <v>54</v>
      </c>
      <c r="C18" s="105" t="str">
        <f t="shared" si="0"/>
        <v xml:space="preserve">Rental     (Other) </v>
      </c>
      <c r="K18" s="105" t="s">
        <v>956</v>
      </c>
      <c r="N18" s="105" t="s">
        <v>991</v>
      </c>
      <c r="O18" s="105" t="s">
        <v>949</v>
      </c>
      <c r="P18" s="105" t="s">
        <v>993</v>
      </c>
    </row>
    <row r="19" spans="1:16">
      <c r="A19" s="105">
        <v>16</v>
      </c>
      <c r="B19" s="105" t="s">
        <v>725</v>
      </c>
      <c r="C19" s="105" t="str">
        <f t="shared" si="0"/>
        <v xml:space="preserve">Final Demand Price   (Agriculture) </v>
      </c>
      <c r="K19" s="105" t="s">
        <v>952</v>
      </c>
      <c r="L19" s="105" t="s">
        <v>951</v>
      </c>
      <c r="M19" s="105" t="s">
        <v>958</v>
      </c>
      <c r="N19" s="105" t="s">
        <v>991</v>
      </c>
      <c r="O19" s="105" t="s">
        <v>948</v>
      </c>
      <c r="P19" s="105" t="s">
        <v>993</v>
      </c>
    </row>
    <row r="20" spans="1:16">
      <c r="A20" s="105">
        <v>17</v>
      </c>
      <c r="B20" s="105" t="s">
        <v>691</v>
      </c>
      <c r="C20" s="105" t="str">
        <f t="shared" si="0"/>
        <v xml:space="preserve">Final Demand Price   (Other) </v>
      </c>
      <c r="K20" s="105" t="s">
        <v>952</v>
      </c>
      <c r="L20" s="105" t="s">
        <v>951</v>
      </c>
      <c r="M20" s="105" t="s">
        <v>958</v>
      </c>
      <c r="N20" s="105" t="s">
        <v>991</v>
      </c>
      <c r="O20" s="105" t="s">
        <v>949</v>
      </c>
      <c r="P20" s="105" t="s">
        <v>993</v>
      </c>
    </row>
    <row r="21" spans="1:16">
      <c r="A21" s="105">
        <v>18</v>
      </c>
      <c r="B21" s="105" t="s">
        <v>727</v>
      </c>
      <c r="C21" s="105" t="str">
        <f t="shared" si="0"/>
        <v xml:space="preserve">Armington Demand Price   (Agriculture) </v>
      </c>
      <c r="K21" s="105" t="s">
        <v>957</v>
      </c>
      <c r="L21" s="105" t="s">
        <v>951</v>
      </c>
      <c r="M21" s="105" t="s">
        <v>958</v>
      </c>
      <c r="N21" s="105" t="s">
        <v>991</v>
      </c>
      <c r="O21" s="105" t="s">
        <v>948</v>
      </c>
      <c r="P21" s="105" t="s">
        <v>993</v>
      </c>
    </row>
    <row r="22" spans="1:16">
      <c r="A22" s="105">
        <v>19</v>
      </c>
      <c r="B22" s="105" t="s">
        <v>55</v>
      </c>
      <c r="C22" s="105" t="str">
        <f t="shared" si="0"/>
        <v xml:space="preserve">Armington Demand Price   (Other) </v>
      </c>
      <c r="K22" s="105" t="s">
        <v>957</v>
      </c>
      <c r="L22" s="105" t="s">
        <v>951</v>
      </c>
      <c r="M22" s="105" t="s">
        <v>958</v>
      </c>
      <c r="N22" s="105" t="s">
        <v>991</v>
      </c>
      <c r="O22" s="105" t="s">
        <v>949</v>
      </c>
      <c r="P22" s="105" t="s">
        <v>993</v>
      </c>
    </row>
    <row r="23" spans="1:16">
      <c r="A23" s="105">
        <v>20</v>
      </c>
      <c r="B23" s="105" t="s">
        <v>729</v>
      </c>
      <c r="C23" s="105" t="str">
        <f t="shared" si="0"/>
        <v xml:space="preserve">Producer Demand Price   (Agriculture) </v>
      </c>
      <c r="K23" s="105" t="s">
        <v>959</v>
      </c>
      <c r="L23" s="105" t="s">
        <v>951</v>
      </c>
      <c r="M23" s="105" t="s">
        <v>958</v>
      </c>
      <c r="N23" s="105" t="s">
        <v>991</v>
      </c>
      <c r="O23" s="105" t="s">
        <v>948</v>
      </c>
      <c r="P23" s="105" t="s">
        <v>993</v>
      </c>
    </row>
    <row r="24" spans="1:16">
      <c r="A24" s="105">
        <v>21</v>
      </c>
      <c r="B24" s="105" t="s">
        <v>59</v>
      </c>
      <c r="C24" s="105" t="str">
        <f t="shared" si="0"/>
        <v xml:space="preserve">Producer Demand Price   (Other) </v>
      </c>
      <c r="K24" s="105" t="s">
        <v>959</v>
      </c>
      <c r="L24" s="105" t="s">
        <v>951</v>
      </c>
      <c r="M24" s="105" t="s">
        <v>958</v>
      </c>
      <c r="N24" s="105" t="s">
        <v>991</v>
      </c>
      <c r="O24" s="105" t="s">
        <v>949</v>
      </c>
      <c r="P24" s="105" t="s">
        <v>993</v>
      </c>
    </row>
    <row r="25" spans="1:16">
      <c r="A25" s="105">
        <v>22</v>
      </c>
      <c r="B25" s="105" t="s">
        <v>732</v>
      </c>
      <c r="C25" s="105" t="str">
        <f t="shared" si="0"/>
        <v xml:space="preserve">Output Demand Price   (Agriculture) </v>
      </c>
      <c r="K25" s="105" t="s">
        <v>947</v>
      </c>
      <c r="L25" s="105" t="s">
        <v>951</v>
      </c>
      <c r="M25" s="105" t="s">
        <v>958</v>
      </c>
      <c r="N25" s="105" t="s">
        <v>991</v>
      </c>
      <c r="O25" s="105" t="s">
        <v>948</v>
      </c>
      <c r="P25" s="105" t="s">
        <v>993</v>
      </c>
    </row>
    <row r="26" spans="1:16">
      <c r="A26" s="105">
        <v>23</v>
      </c>
      <c r="B26" s="105" t="s">
        <v>60</v>
      </c>
      <c r="C26" s="105" t="str">
        <f t="shared" si="0"/>
        <v xml:space="preserve">Output Demand Price   (Other) </v>
      </c>
      <c r="K26" s="105" t="s">
        <v>947</v>
      </c>
      <c r="L26" s="105" t="s">
        <v>951</v>
      </c>
      <c r="M26" s="105" t="s">
        <v>958</v>
      </c>
      <c r="N26" s="105" t="s">
        <v>991</v>
      </c>
      <c r="O26" s="105" t="s">
        <v>949</v>
      </c>
      <c r="P26" s="105" t="s">
        <v>993</v>
      </c>
    </row>
    <row r="27" spans="1:16">
      <c r="A27" s="105">
        <v>24</v>
      </c>
      <c r="B27" s="105" t="s">
        <v>733</v>
      </c>
      <c r="C27" s="105" t="str">
        <f t="shared" si="0"/>
        <v xml:space="preserve">Value Added    (Agriculture) </v>
      </c>
      <c r="K27" s="105" t="s">
        <v>3</v>
      </c>
      <c r="L27" s="105" t="s">
        <v>960</v>
      </c>
      <c r="N27" s="105" t="s">
        <v>991</v>
      </c>
      <c r="O27" s="105" t="s">
        <v>948</v>
      </c>
      <c r="P27" s="105" t="s">
        <v>993</v>
      </c>
    </row>
    <row r="28" spans="1:16">
      <c r="A28" s="105">
        <v>25</v>
      </c>
      <c r="B28" s="105" t="s">
        <v>679</v>
      </c>
      <c r="C28" s="105" t="str">
        <f t="shared" si="0"/>
        <v xml:space="preserve">Value Added    (Other) </v>
      </c>
      <c r="K28" s="105" t="s">
        <v>3</v>
      </c>
      <c r="L28" s="105" t="s">
        <v>960</v>
      </c>
      <c r="N28" s="105" t="s">
        <v>991</v>
      </c>
      <c r="O28" s="105" t="s">
        <v>949</v>
      </c>
      <c r="P28" s="105" t="s">
        <v>993</v>
      </c>
    </row>
    <row r="29" spans="1:16">
      <c r="A29" s="105">
        <v>26</v>
      </c>
      <c r="B29" s="105" t="s">
        <v>735</v>
      </c>
      <c r="C29" s="105" t="str">
        <f t="shared" si="0"/>
        <v xml:space="preserve">Value Added Price   (Agriculture) </v>
      </c>
      <c r="K29" s="105" t="s">
        <v>3</v>
      </c>
      <c r="L29" s="105" t="s">
        <v>960</v>
      </c>
      <c r="M29" s="105" t="s">
        <v>958</v>
      </c>
      <c r="N29" s="105" t="s">
        <v>991</v>
      </c>
      <c r="O29" s="105" t="s">
        <v>948</v>
      </c>
      <c r="P29" s="105" t="s">
        <v>993</v>
      </c>
    </row>
    <row r="30" spans="1:16">
      <c r="A30" s="105">
        <v>27</v>
      </c>
      <c r="B30" s="105" t="s">
        <v>680</v>
      </c>
      <c r="C30" s="105" t="str">
        <f t="shared" si="0"/>
        <v xml:space="preserve">Value Added Price   (Other) </v>
      </c>
      <c r="K30" s="105" t="s">
        <v>3</v>
      </c>
      <c r="L30" s="105" t="s">
        <v>960</v>
      </c>
      <c r="M30" s="105" t="s">
        <v>958</v>
      </c>
      <c r="N30" s="105" t="s">
        <v>991</v>
      </c>
      <c r="O30" s="105" t="s">
        <v>949</v>
      </c>
      <c r="P30" s="105" t="s">
        <v>993</v>
      </c>
    </row>
    <row r="31" spans="1:16">
      <c r="A31" s="105">
        <v>28</v>
      </c>
      <c r="B31" s="105" t="s">
        <v>737</v>
      </c>
      <c r="C31" s="105" t="str">
        <f t="shared" si="0"/>
        <v xml:space="preserve">Capital Land Combined   (Agriculture) </v>
      </c>
      <c r="K31" s="105" t="s">
        <v>183</v>
      </c>
      <c r="L31" s="105" t="s">
        <v>961</v>
      </c>
      <c r="M31" s="105" t="s">
        <v>962</v>
      </c>
      <c r="N31" s="105" t="s">
        <v>991</v>
      </c>
      <c r="O31" s="105" t="s">
        <v>948</v>
      </c>
      <c r="P31" s="105" t="s">
        <v>993</v>
      </c>
    </row>
    <row r="32" spans="1:16">
      <c r="A32" s="105">
        <v>29</v>
      </c>
      <c r="B32" s="105" t="s">
        <v>681</v>
      </c>
      <c r="C32" s="105" t="str">
        <f t="shared" si="0"/>
        <v xml:space="preserve">Capital Land Combined   (Other) </v>
      </c>
      <c r="K32" s="105" t="s">
        <v>183</v>
      </c>
      <c r="L32" s="105" t="s">
        <v>961</v>
      </c>
      <c r="M32" s="105" t="s">
        <v>962</v>
      </c>
      <c r="N32" s="105" t="s">
        <v>991</v>
      </c>
      <c r="O32" s="105" t="s">
        <v>949</v>
      </c>
      <c r="P32" s="105" t="s">
        <v>993</v>
      </c>
    </row>
    <row r="33" spans="1:16">
      <c r="A33" s="105">
        <v>30</v>
      </c>
      <c r="B33" s="105" t="s">
        <v>739</v>
      </c>
      <c r="C33" s="105" t="str">
        <f t="shared" si="0"/>
        <v xml:space="preserve">Capital Land Price   (Agriculture) </v>
      </c>
      <c r="K33" s="105" t="s">
        <v>183</v>
      </c>
      <c r="L33" s="105" t="s">
        <v>961</v>
      </c>
      <c r="M33" s="105" t="s">
        <v>958</v>
      </c>
      <c r="N33" s="105" t="s">
        <v>991</v>
      </c>
      <c r="O33" s="105" t="s">
        <v>948</v>
      </c>
      <c r="P33" s="105" t="s">
        <v>993</v>
      </c>
    </row>
    <row r="34" spans="1:16">
      <c r="A34" s="105">
        <v>31</v>
      </c>
      <c r="B34" s="105" t="s">
        <v>682</v>
      </c>
      <c r="C34" s="105" t="str">
        <f t="shared" si="0"/>
        <v xml:space="preserve">Capital Land Price   (Other) </v>
      </c>
      <c r="K34" s="105" t="s">
        <v>183</v>
      </c>
      <c r="L34" s="105" t="s">
        <v>961</v>
      </c>
      <c r="M34" s="105" t="s">
        <v>958</v>
      </c>
      <c r="N34" s="105" t="s">
        <v>991</v>
      </c>
      <c r="O34" s="105" t="s">
        <v>949</v>
      </c>
      <c r="P34" s="105" t="s">
        <v>993</v>
      </c>
    </row>
    <row r="35" spans="1:16">
      <c r="A35" s="105">
        <v>32</v>
      </c>
      <c r="B35" s="105" t="s">
        <v>741</v>
      </c>
      <c r="C35" s="105" t="str">
        <f t="shared" si="0"/>
        <v xml:space="preserve">Intermediate Demand Price   (Agriculture) </v>
      </c>
      <c r="K35" s="105" t="s">
        <v>953</v>
      </c>
      <c r="L35" s="105" t="s">
        <v>951</v>
      </c>
      <c r="M35" s="105" t="s">
        <v>958</v>
      </c>
      <c r="N35" s="105" t="s">
        <v>991</v>
      </c>
      <c r="O35" s="105" t="s">
        <v>948</v>
      </c>
      <c r="P35" s="105" t="s">
        <v>993</v>
      </c>
    </row>
    <row r="36" spans="1:16">
      <c r="A36" s="105">
        <v>33</v>
      </c>
      <c r="B36" s="105" t="s">
        <v>683</v>
      </c>
      <c r="C36" s="105" t="str">
        <f t="shared" ref="C36:C67" si="1">K36&amp;" "&amp;L36&amp;" "&amp;M36&amp;"   "&amp;N36&amp;O36&amp;P36&amp;" "&amp;Q36&amp;R36</f>
        <v xml:space="preserve">Intermediate Demand Price   (Other) </v>
      </c>
      <c r="K36" s="105" t="s">
        <v>953</v>
      </c>
      <c r="L36" s="105" t="s">
        <v>951</v>
      </c>
      <c r="M36" s="105" t="s">
        <v>958</v>
      </c>
      <c r="N36" s="105" t="s">
        <v>991</v>
      </c>
      <c r="O36" s="105" t="s">
        <v>949</v>
      </c>
      <c r="P36" s="105" t="s">
        <v>993</v>
      </c>
    </row>
    <row r="37" spans="1:16">
      <c r="A37" s="105">
        <v>34</v>
      </c>
      <c r="B37" s="105" t="s">
        <v>743</v>
      </c>
      <c r="C37" s="105" t="str">
        <f t="shared" si="1"/>
        <v xml:space="preserve">Intermediate Demand    (Agriculture) </v>
      </c>
      <c r="K37" s="105" t="s">
        <v>953</v>
      </c>
      <c r="L37" s="105" t="s">
        <v>951</v>
      </c>
      <c r="N37" s="105" t="s">
        <v>991</v>
      </c>
      <c r="O37" s="105" t="s">
        <v>948</v>
      </c>
      <c r="P37" s="105" t="s">
        <v>993</v>
      </c>
    </row>
    <row r="38" spans="1:16">
      <c r="A38" s="105">
        <v>35</v>
      </c>
      <c r="B38" s="105" t="s">
        <v>684</v>
      </c>
      <c r="C38" s="105" t="str">
        <f t="shared" si="1"/>
        <v xml:space="preserve">Intermediate Demand    (Other) </v>
      </c>
      <c r="K38" s="105" t="s">
        <v>953</v>
      </c>
      <c r="L38" s="105" t="s">
        <v>951</v>
      </c>
      <c r="N38" s="105" t="s">
        <v>991</v>
      </c>
      <c r="O38" s="105" t="s">
        <v>949</v>
      </c>
      <c r="P38" s="105" t="s">
        <v>993</v>
      </c>
    </row>
    <row r="39" spans="1:16">
      <c r="A39" s="105">
        <v>36</v>
      </c>
      <c r="B39" s="105" t="s">
        <v>73</v>
      </c>
      <c r="C39" s="105" t="str">
        <f t="shared" si="1"/>
        <v xml:space="preserve">Household Income      </v>
      </c>
      <c r="K39" s="105" t="s">
        <v>963</v>
      </c>
    </row>
    <row r="40" spans="1:16">
      <c r="A40" s="105">
        <v>37</v>
      </c>
      <c r="B40" s="105" t="s">
        <v>74</v>
      </c>
      <c r="C40" s="105" t="str">
        <f t="shared" si="1"/>
        <v xml:space="preserve">Household  Disposable Income    </v>
      </c>
      <c r="K40" s="105" t="s">
        <v>964</v>
      </c>
      <c r="L40" s="105" t="s">
        <v>965</v>
      </c>
      <c r="M40" s="105" t="s">
        <v>966</v>
      </c>
    </row>
    <row r="41" spans="1:16">
      <c r="A41" s="105">
        <v>38</v>
      </c>
      <c r="B41" s="105" t="s">
        <v>75</v>
      </c>
      <c r="C41" s="105" t="str">
        <f t="shared" si="1"/>
        <v xml:space="preserve">Household Saving     </v>
      </c>
      <c r="K41" s="105" t="s">
        <v>967</v>
      </c>
      <c r="L41" s="105" t="s">
        <v>79</v>
      </c>
    </row>
    <row r="42" spans="1:16">
      <c r="A42" s="105">
        <v>39</v>
      </c>
      <c r="B42" s="105" t="s">
        <v>745</v>
      </c>
      <c r="C42" s="105" t="str">
        <f t="shared" si="1"/>
        <v xml:space="preserve">Household Consumption    (Agriculture) </v>
      </c>
      <c r="K42" s="105" t="s">
        <v>967</v>
      </c>
      <c r="L42" s="105" t="s">
        <v>968</v>
      </c>
      <c r="N42" s="105" t="s">
        <v>991</v>
      </c>
      <c r="O42" s="105" t="s">
        <v>948</v>
      </c>
      <c r="P42" s="105" t="s">
        <v>993</v>
      </c>
    </row>
    <row r="43" spans="1:16">
      <c r="A43" s="105">
        <v>40</v>
      </c>
      <c r="B43" s="105" t="s">
        <v>76</v>
      </c>
      <c r="C43" s="105" t="str">
        <f t="shared" si="1"/>
        <v xml:space="preserve">Household Consumption    (Other) </v>
      </c>
      <c r="K43" s="105" t="s">
        <v>967</v>
      </c>
      <c r="L43" s="105" t="s">
        <v>968</v>
      </c>
      <c r="N43" s="105" t="s">
        <v>991</v>
      </c>
      <c r="O43" s="105" t="s">
        <v>949</v>
      </c>
      <c r="P43" s="105" t="s">
        <v>993</v>
      </c>
    </row>
    <row r="44" spans="1:16">
      <c r="A44" s="105">
        <v>41</v>
      </c>
      <c r="B44" s="105" t="s">
        <v>84</v>
      </c>
      <c r="C44" s="105" t="str">
        <f t="shared" si="1"/>
        <v xml:space="preserve">Household Discretionary Income    </v>
      </c>
      <c r="K44" s="105" t="s">
        <v>967</v>
      </c>
      <c r="L44" s="105" t="s">
        <v>990</v>
      </c>
      <c r="M44" s="105" t="s">
        <v>966</v>
      </c>
    </row>
    <row r="45" spans="1:16">
      <c r="A45" s="105">
        <v>42</v>
      </c>
      <c r="B45" s="105" t="s">
        <v>89</v>
      </c>
      <c r="C45" s="105" t="str">
        <f t="shared" si="1"/>
        <v xml:space="preserve">Depreciation Allowance     </v>
      </c>
      <c r="K45" s="105" t="s">
        <v>969</v>
      </c>
      <c r="L45" s="105" t="s">
        <v>987</v>
      </c>
    </row>
    <row r="46" spans="1:16">
      <c r="A46" s="105">
        <v>43</v>
      </c>
      <c r="B46" s="105" t="s">
        <v>97</v>
      </c>
      <c r="C46" s="105" t="str">
        <f t="shared" si="1"/>
        <v xml:space="preserve">Government Budget Balance    </v>
      </c>
      <c r="K46" s="105" t="s">
        <v>179</v>
      </c>
      <c r="L46" s="105" t="s">
        <v>988</v>
      </c>
      <c r="M46" s="105" t="s">
        <v>986</v>
      </c>
    </row>
    <row r="47" spans="1:16">
      <c r="A47" s="105">
        <v>44</v>
      </c>
      <c r="B47" s="105" t="s">
        <v>98</v>
      </c>
      <c r="C47" s="105" t="str">
        <f t="shared" si="1"/>
        <v xml:space="preserve">Government Total Expenditure    </v>
      </c>
      <c r="K47" s="105" t="s">
        <v>179</v>
      </c>
      <c r="L47" s="105" t="s">
        <v>652</v>
      </c>
      <c r="M47" s="105" t="s">
        <v>989</v>
      </c>
    </row>
    <row r="48" spans="1:16">
      <c r="A48" s="105">
        <v>45</v>
      </c>
      <c r="B48" s="105" t="s">
        <v>747</v>
      </c>
      <c r="C48" s="105" t="str">
        <f t="shared" si="1"/>
        <v xml:space="preserve">Government Consumption    (Agriculture) </v>
      </c>
      <c r="K48" s="105" t="s">
        <v>179</v>
      </c>
      <c r="L48" s="105" t="s">
        <v>968</v>
      </c>
      <c r="N48" s="105" t="s">
        <v>991</v>
      </c>
      <c r="O48" s="105" t="s">
        <v>948</v>
      </c>
      <c r="P48" s="105" t="s">
        <v>993</v>
      </c>
    </row>
    <row r="49" spans="1:16">
      <c r="A49" s="105">
        <v>46</v>
      </c>
      <c r="B49" s="105" t="s">
        <v>93</v>
      </c>
      <c r="C49" s="105" t="str">
        <f t="shared" si="1"/>
        <v xml:space="preserve">Government Consumption    (Other) </v>
      </c>
      <c r="K49" s="105" t="s">
        <v>179</v>
      </c>
      <c r="L49" s="105" t="s">
        <v>968</v>
      </c>
      <c r="N49" s="105" t="s">
        <v>991</v>
      </c>
      <c r="O49" s="105" t="s">
        <v>949</v>
      </c>
      <c r="P49" s="105" t="s">
        <v>993</v>
      </c>
    </row>
    <row r="50" spans="1:16">
      <c r="A50" s="105">
        <v>47</v>
      </c>
      <c r="B50" s="105" t="s">
        <v>101</v>
      </c>
      <c r="C50" s="105" t="str">
        <f t="shared" si="1"/>
        <v xml:space="preserve">Total Savings     </v>
      </c>
      <c r="K50" s="105" t="s">
        <v>652</v>
      </c>
      <c r="L50" s="105" t="s">
        <v>674</v>
      </c>
    </row>
    <row r="51" spans="1:16">
      <c r="A51" s="105">
        <v>48</v>
      </c>
      <c r="B51" s="105" t="s">
        <v>102</v>
      </c>
      <c r="C51" s="105" t="str">
        <f t="shared" si="1"/>
        <v xml:space="preserve">Total Investment     </v>
      </c>
      <c r="K51" s="105" t="s">
        <v>652</v>
      </c>
      <c r="L51" s="105" t="s">
        <v>180</v>
      </c>
    </row>
    <row r="52" spans="1:16">
      <c r="A52" s="105">
        <v>49</v>
      </c>
      <c r="B52" s="105" t="s">
        <v>749</v>
      </c>
      <c r="C52" s="105" t="str">
        <f t="shared" si="1"/>
        <v xml:space="preserve">Innvestment Demand    (Agriculture) </v>
      </c>
      <c r="K52" s="105" t="s">
        <v>970</v>
      </c>
      <c r="L52" s="105" t="s">
        <v>951</v>
      </c>
      <c r="N52" s="105" t="s">
        <v>991</v>
      </c>
      <c r="O52" s="105" t="s">
        <v>948</v>
      </c>
      <c r="P52" s="105" t="s">
        <v>993</v>
      </c>
    </row>
    <row r="53" spans="1:16">
      <c r="A53" s="105">
        <v>50</v>
      </c>
      <c r="B53" s="105" t="s">
        <v>94</v>
      </c>
      <c r="C53" s="105" t="str">
        <f t="shared" si="1"/>
        <v xml:space="preserve">Innvestment Demand    (Other) </v>
      </c>
      <c r="K53" s="105" t="s">
        <v>970</v>
      </c>
      <c r="L53" s="105" t="s">
        <v>951</v>
      </c>
      <c r="N53" s="105" t="s">
        <v>991</v>
      </c>
      <c r="O53" s="105" t="s">
        <v>949</v>
      </c>
      <c r="P53" s="105" t="s">
        <v>993</v>
      </c>
    </row>
    <row r="54" spans="1:16">
      <c r="A54" s="105">
        <v>51</v>
      </c>
      <c r="B54" s="105" t="s">
        <v>751</v>
      </c>
      <c r="C54" s="105" t="str">
        <f t="shared" si="1"/>
        <v xml:space="preserve">Domestic Demand Price   (Agriculture) </v>
      </c>
      <c r="K54" s="105" t="s">
        <v>117</v>
      </c>
      <c r="L54" s="105" t="s">
        <v>951</v>
      </c>
      <c r="M54" s="105" t="s">
        <v>958</v>
      </c>
      <c r="N54" s="105" t="s">
        <v>991</v>
      </c>
      <c r="O54" s="105" t="s">
        <v>948</v>
      </c>
      <c r="P54" s="105" t="s">
        <v>993</v>
      </c>
    </row>
    <row r="55" spans="1:16">
      <c r="A55" s="105">
        <v>52</v>
      </c>
      <c r="B55" s="105" t="s">
        <v>112</v>
      </c>
      <c r="C55" s="105" t="str">
        <f t="shared" si="1"/>
        <v xml:space="preserve">Domestic Demand Price   (Other) </v>
      </c>
      <c r="K55" s="105" t="s">
        <v>117</v>
      </c>
      <c r="L55" s="105" t="s">
        <v>951</v>
      </c>
      <c r="M55" s="105" t="s">
        <v>958</v>
      </c>
      <c r="N55" s="105" t="s">
        <v>991</v>
      </c>
      <c r="O55" s="105" t="s">
        <v>949</v>
      </c>
      <c r="P55" s="105" t="s">
        <v>993</v>
      </c>
    </row>
    <row r="56" spans="1:16">
      <c r="A56" s="105">
        <v>53</v>
      </c>
      <c r="B56" s="105" t="s">
        <v>753</v>
      </c>
      <c r="C56" s="105" t="str">
        <f t="shared" si="1"/>
        <v xml:space="preserve">Import Demand Price   (Agriculture) </v>
      </c>
      <c r="K56" s="105" t="s">
        <v>971</v>
      </c>
      <c r="L56" s="105" t="s">
        <v>951</v>
      </c>
      <c r="M56" s="105" t="s">
        <v>958</v>
      </c>
      <c r="N56" s="105" t="s">
        <v>991</v>
      </c>
      <c r="O56" s="105" t="s">
        <v>948</v>
      </c>
      <c r="P56" s="105" t="s">
        <v>993</v>
      </c>
    </row>
    <row r="57" spans="1:16">
      <c r="A57" s="105">
        <v>54</v>
      </c>
      <c r="B57" s="105" t="s">
        <v>113</v>
      </c>
      <c r="C57" s="105" t="str">
        <f t="shared" si="1"/>
        <v xml:space="preserve">Import Demand Price   (Other) </v>
      </c>
      <c r="K57" s="105" t="s">
        <v>971</v>
      </c>
      <c r="L57" s="105" t="s">
        <v>951</v>
      </c>
      <c r="M57" s="105" t="s">
        <v>958</v>
      </c>
      <c r="N57" s="105" t="s">
        <v>991</v>
      </c>
      <c r="O57" s="105" t="s">
        <v>949</v>
      </c>
      <c r="P57" s="105" t="s">
        <v>993</v>
      </c>
    </row>
    <row r="58" spans="1:16">
      <c r="A58" s="105">
        <v>55</v>
      </c>
      <c r="B58" s="105" t="s">
        <v>757</v>
      </c>
      <c r="C58" s="105" t="str">
        <f t="shared" si="1"/>
        <v xml:space="preserve">Armington Demand    (Agriculture) </v>
      </c>
      <c r="K58" s="105" t="s">
        <v>957</v>
      </c>
      <c r="L58" s="105" t="s">
        <v>951</v>
      </c>
      <c r="N58" s="105" t="s">
        <v>991</v>
      </c>
      <c r="O58" s="105" t="s">
        <v>948</v>
      </c>
      <c r="P58" s="105" t="s">
        <v>993</v>
      </c>
    </row>
    <row r="59" spans="1:16">
      <c r="A59" s="105">
        <v>56</v>
      </c>
      <c r="B59" s="105" t="s">
        <v>115</v>
      </c>
      <c r="C59" s="105" t="str">
        <f t="shared" si="1"/>
        <v xml:space="preserve">Armington Demand    (Other) </v>
      </c>
      <c r="K59" s="105" t="s">
        <v>957</v>
      </c>
      <c r="L59" s="105" t="s">
        <v>951</v>
      </c>
      <c r="N59" s="105" t="s">
        <v>991</v>
      </c>
      <c r="O59" s="105" t="s">
        <v>949</v>
      </c>
      <c r="P59" s="105" t="s">
        <v>993</v>
      </c>
    </row>
    <row r="60" spans="1:16">
      <c r="A60" s="105">
        <v>57</v>
      </c>
      <c r="B60" s="105" t="s">
        <v>758</v>
      </c>
      <c r="C60" s="105" t="str">
        <f t="shared" si="1"/>
        <v xml:space="preserve">Domestic Demand    (Agriculture) </v>
      </c>
      <c r="K60" s="105" t="s">
        <v>117</v>
      </c>
      <c r="L60" s="105" t="s">
        <v>951</v>
      </c>
      <c r="N60" s="105" t="s">
        <v>991</v>
      </c>
      <c r="O60" s="105" t="s">
        <v>948</v>
      </c>
      <c r="P60" s="105" t="s">
        <v>993</v>
      </c>
    </row>
    <row r="61" spans="1:16">
      <c r="A61" s="105">
        <v>58</v>
      </c>
      <c r="B61" s="105" t="s">
        <v>119</v>
      </c>
      <c r="C61" s="105" t="str">
        <f t="shared" si="1"/>
        <v xml:space="preserve">Domestic Demand    (Other) </v>
      </c>
      <c r="K61" s="105" t="s">
        <v>117</v>
      </c>
      <c r="L61" s="105" t="s">
        <v>951</v>
      </c>
      <c r="N61" s="105" t="s">
        <v>991</v>
      </c>
      <c r="O61" s="105" t="s">
        <v>949</v>
      </c>
      <c r="P61" s="105" t="s">
        <v>993</v>
      </c>
    </row>
    <row r="62" spans="1:16">
      <c r="A62" s="105">
        <v>59</v>
      </c>
      <c r="B62" s="105" t="s">
        <v>760</v>
      </c>
      <c r="C62" s="105" t="str">
        <f t="shared" si="1"/>
        <v xml:space="preserve">Import     (Agriculture) </v>
      </c>
      <c r="K62" s="105" t="s">
        <v>971</v>
      </c>
      <c r="N62" s="105" t="s">
        <v>991</v>
      </c>
      <c r="O62" s="105" t="s">
        <v>948</v>
      </c>
      <c r="P62" s="105" t="s">
        <v>993</v>
      </c>
    </row>
    <row r="63" spans="1:16">
      <c r="A63" s="105">
        <v>60</v>
      </c>
      <c r="B63" s="105" t="s">
        <v>120</v>
      </c>
      <c r="C63" s="105" t="str">
        <f t="shared" si="1"/>
        <v xml:space="preserve">Import     (Other) </v>
      </c>
      <c r="K63" s="105" t="s">
        <v>971</v>
      </c>
      <c r="N63" s="105" t="s">
        <v>991</v>
      </c>
      <c r="O63" s="105" t="s">
        <v>949</v>
      </c>
      <c r="P63" s="105" t="s">
        <v>993</v>
      </c>
    </row>
    <row r="64" spans="1:16">
      <c r="A64" s="105">
        <v>61</v>
      </c>
      <c r="B64" s="105" t="s">
        <v>762</v>
      </c>
      <c r="C64" s="105" t="str">
        <f t="shared" si="1"/>
        <v xml:space="preserve">Domestic Supply    (Agriculture) </v>
      </c>
      <c r="K64" s="105" t="s">
        <v>117</v>
      </c>
      <c r="L64" s="105" t="s">
        <v>972</v>
      </c>
      <c r="N64" s="105" t="s">
        <v>991</v>
      </c>
      <c r="O64" s="105" t="s">
        <v>948</v>
      </c>
      <c r="P64" s="105" t="s">
        <v>993</v>
      </c>
    </row>
    <row r="65" spans="1:16">
      <c r="A65" s="105">
        <v>62</v>
      </c>
      <c r="B65" s="105" t="s">
        <v>129</v>
      </c>
      <c r="C65" s="105" t="str">
        <f t="shared" si="1"/>
        <v xml:space="preserve">Domestic Supply    (Other) </v>
      </c>
      <c r="K65" s="105" t="s">
        <v>117</v>
      </c>
      <c r="L65" s="105" t="s">
        <v>972</v>
      </c>
      <c r="N65" s="105" t="s">
        <v>991</v>
      </c>
      <c r="O65" s="105" t="s">
        <v>949</v>
      </c>
      <c r="P65" s="105" t="s">
        <v>993</v>
      </c>
    </row>
    <row r="66" spans="1:16">
      <c r="A66" s="105">
        <v>63</v>
      </c>
      <c r="B66" s="105" t="s">
        <v>764</v>
      </c>
      <c r="C66" s="105" t="str">
        <f t="shared" si="1"/>
        <v xml:space="preserve">Export Supply    (Agriculture) </v>
      </c>
      <c r="K66" s="105" t="s">
        <v>979</v>
      </c>
      <c r="L66" s="105" t="s">
        <v>972</v>
      </c>
      <c r="N66" s="105" t="s">
        <v>991</v>
      </c>
      <c r="O66" s="105" t="s">
        <v>948</v>
      </c>
      <c r="P66" s="105" t="s">
        <v>993</v>
      </c>
    </row>
    <row r="67" spans="1:16">
      <c r="A67" s="105">
        <v>64</v>
      </c>
      <c r="B67" s="105" t="s">
        <v>130</v>
      </c>
      <c r="C67" s="105" t="str">
        <f t="shared" si="1"/>
        <v xml:space="preserve">Export Supply    (Other) </v>
      </c>
      <c r="K67" s="105" t="s">
        <v>979</v>
      </c>
      <c r="L67" s="105" t="s">
        <v>972</v>
      </c>
      <c r="N67" s="105" t="s">
        <v>991</v>
      </c>
      <c r="O67" s="105" t="s">
        <v>949</v>
      </c>
      <c r="P67" s="105" t="s">
        <v>993</v>
      </c>
    </row>
    <row r="68" spans="1:16">
      <c r="A68" s="105">
        <v>65</v>
      </c>
      <c r="B68" s="105" t="s">
        <v>766</v>
      </c>
      <c r="C68" s="105" t="str">
        <f t="shared" ref="C68:C90" si="2">K68&amp;" "&amp;L68&amp;" "&amp;M68&amp;"   "&amp;N68&amp;O68&amp;P68&amp;" "&amp;Q68&amp;R68</f>
        <v xml:space="preserve">Export Supply Price   (Agriculture) </v>
      </c>
      <c r="K68" s="105" t="s">
        <v>979</v>
      </c>
      <c r="L68" s="105" t="s">
        <v>972</v>
      </c>
      <c r="M68" s="105" t="s">
        <v>958</v>
      </c>
      <c r="N68" s="105" t="s">
        <v>991</v>
      </c>
      <c r="O68" s="105" t="s">
        <v>948</v>
      </c>
      <c r="P68" s="105" t="s">
        <v>993</v>
      </c>
    </row>
    <row r="69" spans="1:16">
      <c r="A69" s="105">
        <v>66</v>
      </c>
      <c r="B69" s="105" t="s">
        <v>131</v>
      </c>
      <c r="C69" s="105" t="str">
        <f t="shared" si="2"/>
        <v xml:space="preserve">Export Supply Price   (Other) </v>
      </c>
      <c r="K69" s="105" t="s">
        <v>979</v>
      </c>
      <c r="L69" s="105" t="s">
        <v>972</v>
      </c>
      <c r="M69" s="105" t="s">
        <v>958</v>
      </c>
      <c r="N69" s="105" t="s">
        <v>991</v>
      </c>
      <c r="O69" s="105" t="s">
        <v>949</v>
      </c>
      <c r="P69" s="105" t="s">
        <v>993</v>
      </c>
    </row>
    <row r="70" spans="1:16">
      <c r="A70" s="105">
        <v>67</v>
      </c>
      <c r="B70" s="105" t="s">
        <v>770</v>
      </c>
      <c r="C70" s="105" t="str">
        <f t="shared" si="2"/>
        <v xml:space="preserve">Export Demand    (Agriculture) </v>
      </c>
      <c r="K70" s="105" t="s">
        <v>979</v>
      </c>
      <c r="L70" s="105" t="s">
        <v>951</v>
      </c>
      <c r="N70" s="105" t="s">
        <v>991</v>
      </c>
      <c r="O70" s="105" t="s">
        <v>948</v>
      </c>
      <c r="P70" s="105" t="s">
        <v>993</v>
      </c>
    </row>
    <row r="71" spans="1:16">
      <c r="A71" s="105">
        <v>68</v>
      </c>
      <c r="B71" s="105" t="s">
        <v>132</v>
      </c>
      <c r="C71" s="105" t="str">
        <f t="shared" si="2"/>
        <v xml:space="preserve">Export Demand    (Other) </v>
      </c>
      <c r="K71" s="105" t="s">
        <v>979</v>
      </c>
      <c r="L71" s="105" t="s">
        <v>951</v>
      </c>
      <c r="N71" s="105" t="s">
        <v>991</v>
      </c>
      <c r="O71" s="105" t="s">
        <v>949</v>
      </c>
      <c r="P71" s="105" t="s">
        <v>993</v>
      </c>
    </row>
    <row r="72" spans="1:16">
      <c r="A72" s="105">
        <v>69</v>
      </c>
      <c r="B72" s="105" t="s">
        <v>767</v>
      </c>
      <c r="C72" s="105" t="str">
        <f t="shared" si="2"/>
        <v xml:space="preserve">World Export Price   (Agriculture) </v>
      </c>
      <c r="K72" s="105" t="s">
        <v>978</v>
      </c>
      <c r="L72" s="105" t="s">
        <v>979</v>
      </c>
      <c r="M72" s="105" t="s">
        <v>958</v>
      </c>
      <c r="N72" s="105" t="s">
        <v>991</v>
      </c>
      <c r="O72" s="105" t="s">
        <v>948</v>
      </c>
      <c r="P72" s="105" t="s">
        <v>993</v>
      </c>
    </row>
    <row r="73" spans="1:16">
      <c r="A73" s="105">
        <v>70</v>
      </c>
      <c r="B73" s="105" t="s">
        <v>108</v>
      </c>
      <c r="C73" s="105" t="str">
        <f t="shared" si="2"/>
        <v xml:space="preserve">World Export Price   (Other) </v>
      </c>
      <c r="K73" s="105" t="s">
        <v>978</v>
      </c>
      <c r="L73" s="105" t="s">
        <v>979</v>
      </c>
      <c r="M73" s="105" t="s">
        <v>958</v>
      </c>
      <c r="N73" s="105" t="s">
        <v>991</v>
      </c>
      <c r="O73" s="105" t="s">
        <v>949</v>
      </c>
      <c r="P73" s="105" t="s">
        <v>993</v>
      </c>
    </row>
    <row r="74" spans="1:16">
      <c r="A74" s="105">
        <v>71</v>
      </c>
      <c r="B74" s="105" t="s">
        <v>140</v>
      </c>
      <c r="C74" s="105" t="str">
        <f t="shared" si="2"/>
        <v xml:space="preserve">Domestic Tax Revenue    </v>
      </c>
      <c r="K74" s="105" t="s">
        <v>117</v>
      </c>
      <c r="L74" s="105" t="s">
        <v>980</v>
      </c>
      <c r="M74" s="105" t="s">
        <v>981</v>
      </c>
    </row>
    <row r="75" spans="1:16">
      <c r="A75" s="105">
        <v>72</v>
      </c>
      <c r="B75" s="105" t="s">
        <v>142</v>
      </c>
      <c r="C75" s="105" t="str">
        <f t="shared" si="2"/>
        <v xml:space="preserve">Trade Tax Revenue    </v>
      </c>
      <c r="K75" s="105" t="s">
        <v>933</v>
      </c>
      <c r="L75" s="105" t="s">
        <v>980</v>
      </c>
      <c r="M75" s="105" t="s">
        <v>981</v>
      </c>
    </row>
    <row r="76" spans="1:16">
      <c r="A76" s="105">
        <v>73</v>
      </c>
      <c r="B76" s="105" t="s">
        <v>92</v>
      </c>
      <c r="C76" s="105" t="str">
        <f t="shared" si="2"/>
        <v xml:space="preserve">Government Revenue     </v>
      </c>
      <c r="K76" s="105" t="s">
        <v>179</v>
      </c>
      <c r="L76" s="105" t="s">
        <v>981</v>
      </c>
    </row>
    <row r="77" spans="1:16">
      <c r="A77" s="105">
        <v>74</v>
      </c>
      <c r="B77" s="105" t="s">
        <v>143</v>
      </c>
      <c r="C77" s="105" t="str">
        <f t="shared" si="2"/>
        <v xml:space="preserve">Government Savgin     </v>
      </c>
      <c r="K77" s="105" t="s">
        <v>179</v>
      </c>
      <c r="L77" s="105" t="s">
        <v>982</v>
      </c>
    </row>
    <row r="78" spans="1:16">
      <c r="A78" s="105">
        <v>75</v>
      </c>
      <c r="B78" s="105" t="s">
        <v>152</v>
      </c>
      <c r="C78" s="105" t="str">
        <f t="shared" si="2"/>
        <v xml:space="preserve">Labor   Supply     </v>
      </c>
      <c r="K78" s="105" t="s">
        <v>950</v>
      </c>
      <c r="L78" s="105" t="s">
        <v>972</v>
      </c>
    </row>
    <row r="79" spans="1:16">
      <c r="A79" s="105">
        <v>76</v>
      </c>
      <c r="B79" s="105" t="s">
        <v>156</v>
      </c>
      <c r="C79" s="105" t="str">
        <f t="shared" si="2"/>
        <v xml:space="preserve">Capital Stock     </v>
      </c>
      <c r="K79" s="105" t="s">
        <v>183</v>
      </c>
      <c r="L79" s="105" t="s">
        <v>983</v>
      </c>
    </row>
    <row r="80" spans="1:16">
      <c r="A80" s="105">
        <v>77</v>
      </c>
      <c r="B80" s="105" t="s">
        <v>157</v>
      </c>
      <c r="C80" s="105" t="str">
        <f t="shared" si="2"/>
        <v xml:space="preserve">Average Rental Rate    </v>
      </c>
      <c r="K80" s="105" t="s">
        <v>954</v>
      </c>
      <c r="L80" s="105" t="s">
        <v>956</v>
      </c>
      <c r="M80" s="105" t="s">
        <v>984</v>
      </c>
    </row>
    <row r="81" spans="1:16">
      <c r="A81" s="105">
        <v>78</v>
      </c>
      <c r="B81" s="105" t="s">
        <v>773</v>
      </c>
      <c r="C81" s="105" t="str">
        <f t="shared" si="2"/>
        <v xml:space="preserve">Capital Supply    (Agriculture) </v>
      </c>
      <c r="K81" s="105" t="s">
        <v>183</v>
      </c>
      <c r="L81" s="105" t="s">
        <v>972</v>
      </c>
      <c r="N81" s="105" t="s">
        <v>991</v>
      </c>
      <c r="O81" s="105" t="s">
        <v>948</v>
      </c>
      <c r="P81" s="105" t="s">
        <v>993</v>
      </c>
    </row>
    <row r="82" spans="1:16">
      <c r="A82" s="105">
        <v>79</v>
      </c>
      <c r="B82" s="105" t="s">
        <v>158</v>
      </c>
      <c r="C82" s="105" t="str">
        <f t="shared" si="2"/>
        <v xml:space="preserve">Capital Supply    (Other) </v>
      </c>
      <c r="K82" s="105" t="s">
        <v>183</v>
      </c>
      <c r="L82" s="105" t="s">
        <v>972</v>
      </c>
      <c r="N82" s="105" t="s">
        <v>991</v>
      </c>
      <c r="O82" s="105" t="s">
        <v>949</v>
      </c>
      <c r="P82" s="105" t="s">
        <v>993</v>
      </c>
    </row>
    <row r="83" spans="1:16">
      <c r="A83" s="105">
        <v>80</v>
      </c>
      <c r="B83" s="105" t="s">
        <v>774</v>
      </c>
      <c r="C83" s="105" t="str">
        <f t="shared" si="2"/>
        <v xml:space="preserve">Land Supply    (Agriculture) </v>
      </c>
      <c r="K83" s="105" t="s">
        <v>961</v>
      </c>
      <c r="L83" s="105" t="s">
        <v>972</v>
      </c>
      <c r="N83" s="105" t="s">
        <v>991</v>
      </c>
      <c r="O83" s="105" t="s">
        <v>948</v>
      </c>
      <c r="P83" s="105" t="s">
        <v>993</v>
      </c>
    </row>
    <row r="84" spans="1:16">
      <c r="A84" s="105">
        <v>81</v>
      </c>
      <c r="B84" s="105" t="s">
        <v>701</v>
      </c>
      <c r="C84" s="105" t="str">
        <f t="shared" si="2"/>
        <v xml:space="preserve">Land Supply    (Other) </v>
      </c>
      <c r="K84" s="105" t="s">
        <v>961</v>
      </c>
      <c r="L84" s="105" t="s">
        <v>972</v>
      </c>
      <c r="N84" s="105" t="s">
        <v>991</v>
      </c>
      <c r="O84" s="105" t="s">
        <v>949</v>
      </c>
      <c r="P84" s="105" t="s">
        <v>993</v>
      </c>
    </row>
    <row r="85" spans="1:16">
      <c r="A85" s="105">
        <v>82</v>
      </c>
      <c r="B85" s="105" t="s">
        <v>91</v>
      </c>
      <c r="C85" s="105" t="str">
        <f t="shared" si="2"/>
        <v xml:space="preserve">GDP Price Index    </v>
      </c>
      <c r="K85" s="105" t="s">
        <v>973</v>
      </c>
      <c r="L85" s="105" t="s">
        <v>958</v>
      </c>
      <c r="M85" s="105" t="s">
        <v>974</v>
      </c>
    </row>
    <row r="86" spans="1:16">
      <c r="A86" s="105">
        <v>83</v>
      </c>
      <c r="B86" s="105" t="s">
        <v>165</v>
      </c>
      <c r="C86" s="105" t="str">
        <f t="shared" si="2"/>
        <v xml:space="preserve">Real GDP     </v>
      </c>
      <c r="K86" s="105" t="s">
        <v>975</v>
      </c>
      <c r="L86" s="105" t="s">
        <v>973</v>
      </c>
    </row>
    <row r="87" spans="1:16">
      <c r="A87" s="105">
        <v>84</v>
      </c>
      <c r="B87" s="105" t="s">
        <v>166</v>
      </c>
      <c r="C87" s="105" t="str">
        <f t="shared" si="2"/>
        <v xml:space="preserve">Factor Cost GDP    </v>
      </c>
      <c r="K87" s="105" t="s">
        <v>976</v>
      </c>
      <c r="L87" s="105" t="s">
        <v>977</v>
      </c>
      <c r="M87" s="105" t="s">
        <v>973</v>
      </c>
    </row>
    <row r="88" spans="1:16">
      <c r="A88" s="105">
        <v>85</v>
      </c>
      <c r="B88" s="105" t="s">
        <v>163</v>
      </c>
      <c r="C88" s="105" t="str">
        <f t="shared" si="2"/>
        <v xml:space="preserve">Real Government Saving    </v>
      </c>
      <c r="K88" s="105" t="s">
        <v>975</v>
      </c>
      <c r="L88" s="105" t="s">
        <v>179</v>
      </c>
      <c r="M88" s="105" t="s">
        <v>79</v>
      </c>
    </row>
    <row r="89" spans="1:16">
      <c r="A89" s="105">
        <v>86</v>
      </c>
      <c r="B89" s="105" t="s">
        <v>88</v>
      </c>
      <c r="C89" s="105" t="str">
        <f t="shared" si="2"/>
        <v xml:space="preserve">Real Government Balance    </v>
      </c>
      <c r="K89" s="105" t="s">
        <v>975</v>
      </c>
      <c r="L89" s="105" t="s">
        <v>179</v>
      </c>
      <c r="M89" s="105" t="s">
        <v>986</v>
      </c>
    </row>
    <row r="90" spans="1:16">
      <c r="A90" s="105">
        <v>87</v>
      </c>
      <c r="B90" s="105" t="s">
        <v>171</v>
      </c>
      <c r="C90" s="105" t="str">
        <f t="shared" si="2"/>
        <v xml:space="preserve">Walras Consistency Balance    </v>
      </c>
      <c r="K90" s="105" t="s">
        <v>171</v>
      </c>
      <c r="L90" s="105" t="s">
        <v>985</v>
      </c>
      <c r="M90" s="105" t="s">
        <v>986</v>
      </c>
    </row>
  </sheetData>
  <phoneticPr fontId="21" type="noConversion"/>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8</vt:i4>
      </vt:variant>
    </vt:vector>
  </HeadingPairs>
  <TitlesOfParts>
    <vt:vector size="8" baseType="lpstr">
      <vt:lpstr>Data</vt:lpstr>
      <vt:lpstr>Doc</vt:lpstr>
      <vt:lpstr>AggMat</vt:lpstr>
      <vt:lpstr>BaseSAM</vt:lpstr>
      <vt:lpstr>SAM</vt:lpstr>
      <vt:lpstr>Model</vt:lpstr>
      <vt:lpstr>Parameters</vt:lpstr>
      <vt:lpstr>Dictionary</vt:lpstr>
    </vt:vector>
  </TitlesOfParts>
  <Company>UCB and World Bank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Roland-Holst and Dominique van der Mensbrugghe</dc:creator>
  <cp:lastModifiedBy>DAVID ROLAND-HOLST</cp:lastModifiedBy>
  <cp:lastPrinted>2000-05-24T13:39:18Z</cp:lastPrinted>
  <dcterms:created xsi:type="dcterms:W3CDTF">2000-02-19T00:07:13Z</dcterms:created>
  <dcterms:modified xsi:type="dcterms:W3CDTF">2012-11-27T23:56:14Z</dcterms:modified>
</cp:coreProperties>
</file>